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ORTATION\Travel Plans\Guidance\Surveys\"/>
    </mc:Choice>
  </mc:AlternateContent>
  <bookViews>
    <workbookView xWindow="0" yWindow="0" windowWidth="28800" windowHeight="11700"/>
  </bookViews>
  <sheets>
    <sheet name="COVER SHEET" sheetId="30" r:id="rId1"/>
    <sheet name="CELL VALIDATION" sheetId="34" state="hidden" r:id="rId2"/>
    <sheet name="WALKING (EXAMPLE)" sheetId="31" r:id="rId3"/>
    <sheet name="WALKING" sheetId="6" r:id="rId4"/>
    <sheet name="CYCLING" sheetId="32" r:id="rId5"/>
    <sheet name="PUBLIC TRANSPORT" sheetId="33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2" l="1"/>
  <c r="O11" i="6"/>
  <c r="E11" i="6"/>
  <c r="S105" i="33" l="1"/>
  <c r="R105" i="33"/>
  <c r="Q105" i="33"/>
  <c r="P105" i="33"/>
  <c r="O105" i="33"/>
  <c r="N105" i="33"/>
  <c r="M105" i="33"/>
  <c r="L105" i="33"/>
  <c r="K105" i="33"/>
  <c r="J105" i="33"/>
  <c r="I105" i="33"/>
  <c r="H105" i="33"/>
  <c r="G105" i="33"/>
  <c r="F105" i="33"/>
  <c r="E105" i="33"/>
  <c r="D105" i="33"/>
  <c r="C105" i="33"/>
  <c r="S97" i="33"/>
  <c r="R97" i="33"/>
  <c r="Q97" i="33"/>
  <c r="P97" i="33"/>
  <c r="O97" i="33"/>
  <c r="N97" i="33"/>
  <c r="M97" i="33"/>
  <c r="L97" i="33"/>
  <c r="K97" i="33"/>
  <c r="J97" i="33"/>
  <c r="I97" i="33"/>
  <c r="H97" i="33"/>
  <c r="G97" i="33"/>
  <c r="F97" i="33"/>
  <c r="E97" i="33"/>
  <c r="D97" i="33"/>
  <c r="C97" i="33"/>
  <c r="S83" i="33"/>
  <c r="R83" i="33"/>
  <c r="Q83" i="33"/>
  <c r="P83" i="33"/>
  <c r="O83" i="33"/>
  <c r="N83" i="33"/>
  <c r="M83" i="33"/>
  <c r="L83" i="33"/>
  <c r="K83" i="33"/>
  <c r="J83" i="33"/>
  <c r="I83" i="33"/>
  <c r="H83" i="33"/>
  <c r="G83" i="33"/>
  <c r="F83" i="33"/>
  <c r="E83" i="33"/>
  <c r="D83" i="33"/>
  <c r="C83" i="33"/>
  <c r="S73" i="33"/>
  <c r="R73" i="33"/>
  <c r="Q73" i="33"/>
  <c r="P73" i="33"/>
  <c r="O73" i="33"/>
  <c r="N73" i="33"/>
  <c r="M73" i="33"/>
  <c r="L73" i="33"/>
  <c r="K73" i="33"/>
  <c r="J73" i="33"/>
  <c r="I73" i="33"/>
  <c r="H73" i="33"/>
  <c r="G73" i="33"/>
  <c r="F73" i="33"/>
  <c r="E73" i="33"/>
  <c r="D73" i="33"/>
  <c r="C73" i="33"/>
  <c r="S65" i="33"/>
  <c r="R65" i="33"/>
  <c r="Q65" i="33"/>
  <c r="P65" i="33"/>
  <c r="O65" i="33"/>
  <c r="N65" i="33"/>
  <c r="M65" i="33"/>
  <c r="L65" i="33"/>
  <c r="K65" i="33"/>
  <c r="J65" i="33"/>
  <c r="I65" i="33"/>
  <c r="H65" i="33"/>
  <c r="G65" i="33"/>
  <c r="F65" i="33"/>
  <c r="E65" i="33"/>
  <c r="D65" i="33"/>
  <c r="C65" i="33"/>
  <c r="S57" i="33"/>
  <c r="R57" i="33"/>
  <c r="Q57" i="33"/>
  <c r="P57" i="33"/>
  <c r="O57" i="33"/>
  <c r="N57" i="33"/>
  <c r="M57" i="33"/>
  <c r="L57" i="33"/>
  <c r="K57" i="33"/>
  <c r="J57" i="33"/>
  <c r="I57" i="33"/>
  <c r="H57" i="33"/>
  <c r="G57" i="33"/>
  <c r="F57" i="33"/>
  <c r="E57" i="33"/>
  <c r="D57" i="33"/>
  <c r="C57" i="33"/>
  <c r="S33" i="33"/>
  <c r="R33" i="33"/>
  <c r="Q33" i="33"/>
  <c r="P33" i="33"/>
  <c r="O33" i="33"/>
  <c r="N33" i="33"/>
  <c r="M33" i="33"/>
  <c r="L33" i="33"/>
  <c r="K33" i="33"/>
  <c r="J33" i="33"/>
  <c r="I33" i="33"/>
  <c r="H33" i="33"/>
  <c r="G33" i="33"/>
  <c r="F33" i="33"/>
  <c r="E33" i="33"/>
  <c r="D33" i="33"/>
  <c r="C33" i="33"/>
  <c r="S19" i="33"/>
  <c r="R19" i="33"/>
  <c r="Q19" i="33"/>
  <c r="P19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C19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W105" i="32"/>
  <c r="V105" i="32"/>
  <c r="U105" i="32"/>
  <c r="T105" i="32"/>
  <c r="S105" i="32"/>
  <c r="R105" i="32"/>
  <c r="Q105" i="32"/>
  <c r="P105" i="32"/>
  <c r="O105" i="32"/>
  <c r="N105" i="32"/>
  <c r="M105" i="32"/>
  <c r="L105" i="32"/>
  <c r="K105" i="32"/>
  <c r="J105" i="32"/>
  <c r="I105" i="32"/>
  <c r="H105" i="32"/>
  <c r="G105" i="32"/>
  <c r="F105" i="32"/>
  <c r="E105" i="32"/>
  <c r="D105" i="32"/>
  <c r="C105" i="32"/>
  <c r="W97" i="32"/>
  <c r="V97" i="32"/>
  <c r="U97" i="32"/>
  <c r="T97" i="32"/>
  <c r="S97" i="32"/>
  <c r="R97" i="32"/>
  <c r="Q97" i="32"/>
  <c r="P97" i="32"/>
  <c r="O97" i="32"/>
  <c r="N97" i="32"/>
  <c r="M97" i="32"/>
  <c r="L97" i="32"/>
  <c r="K97" i="32"/>
  <c r="J97" i="32"/>
  <c r="I97" i="32"/>
  <c r="H97" i="32"/>
  <c r="G97" i="32"/>
  <c r="F97" i="32"/>
  <c r="E97" i="32"/>
  <c r="D97" i="32"/>
  <c r="C97" i="32"/>
  <c r="W83" i="32"/>
  <c r="V83" i="32"/>
  <c r="U83" i="32"/>
  <c r="T83" i="32"/>
  <c r="S83" i="32"/>
  <c r="R83" i="32"/>
  <c r="Q83" i="32"/>
  <c r="P83" i="32"/>
  <c r="O83" i="32"/>
  <c r="N83" i="32"/>
  <c r="M83" i="32"/>
  <c r="L83" i="32"/>
  <c r="K83" i="32"/>
  <c r="J83" i="32"/>
  <c r="I83" i="32"/>
  <c r="H83" i="32"/>
  <c r="G83" i="32"/>
  <c r="F83" i="32"/>
  <c r="E83" i="32"/>
  <c r="D83" i="32"/>
  <c r="C83" i="32"/>
  <c r="W73" i="32"/>
  <c r="V73" i="32"/>
  <c r="U73" i="32"/>
  <c r="T73" i="32"/>
  <c r="S73" i="32"/>
  <c r="R73" i="32"/>
  <c r="Q73" i="32"/>
  <c r="P73" i="32"/>
  <c r="O73" i="32"/>
  <c r="N73" i="32"/>
  <c r="M73" i="32"/>
  <c r="L73" i="32"/>
  <c r="K73" i="32"/>
  <c r="J73" i="32"/>
  <c r="I73" i="32"/>
  <c r="H73" i="32"/>
  <c r="G73" i="32"/>
  <c r="F73" i="32"/>
  <c r="E73" i="32"/>
  <c r="D73" i="32"/>
  <c r="C73" i="32"/>
  <c r="W65" i="32"/>
  <c r="V65" i="32"/>
  <c r="U65" i="32"/>
  <c r="T65" i="32"/>
  <c r="S65" i="32"/>
  <c r="R65" i="32"/>
  <c r="Q65" i="32"/>
  <c r="P65" i="32"/>
  <c r="O65" i="32"/>
  <c r="N65" i="32"/>
  <c r="M65" i="32"/>
  <c r="L65" i="32"/>
  <c r="K65" i="32"/>
  <c r="J65" i="32"/>
  <c r="I65" i="32"/>
  <c r="H65" i="32"/>
  <c r="G65" i="32"/>
  <c r="F65" i="32"/>
  <c r="E65" i="32"/>
  <c r="D65" i="32"/>
  <c r="C65" i="32"/>
  <c r="W57" i="32"/>
  <c r="V57" i="32"/>
  <c r="U57" i="32"/>
  <c r="T57" i="32"/>
  <c r="S57" i="32"/>
  <c r="R57" i="32"/>
  <c r="Q57" i="32"/>
  <c r="P57" i="32"/>
  <c r="O57" i="32"/>
  <c r="N57" i="32"/>
  <c r="M57" i="32"/>
  <c r="L57" i="32"/>
  <c r="K57" i="32"/>
  <c r="J57" i="32"/>
  <c r="I57" i="32"/>
  <c r="H57" i="32"/>
  <c r="G57" i="32"/>
  <c r="F57" i="32"/>
  <c r="E57" i="32"/>
  <c r="D57" i="32"/>
  <c r="C57" i="32"/>
  <c r="W33" i="32"/>
  <c r="V33" i="32"/>
  <c r="U33" i="32"/>
  <c r="T33" i="32"/>
  <c r="S33" i="32"/>
  <c r="R33" i="32"/>
  <c r="Q33" i="32"/>
  <c r="P33" i="32"/>
  <c r="O33" i="32"/>
  <c r="N33" i="32"/>
  <c r="M33" i="32"/>
  <c r="L33" i="32"/>
  <c r="K33" i="32"/>
  <c r="J33" i="32"/>
  <c r="I33" i="32"/>
  <c r="H33" i="32"/>
  <c r="G33" i="32"/>
  <c r="F33" i="32"/>
  <c r="E33" i="32"/>
  <c r="D33" i="32"/>
  <c r="C33" i="32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W11" i="32"/>
  <c r="V11" i="32"/>
  <c r="U11" i="32"/>
  <c r="T11" i="32"/>
  <c r="S11" i="32"/>
  <c r="R11" i="32"/>
  <c r="Q11" i="32"/>
  <c r="P11" i="32"/>
  <c r="O11" i="32"/>
  <c r="N11" i="32"/>
  <c r="M11" i="32"/>
  <c r="L11" i="32"/>
  <c r="K11" i="32"/>
  <c r="J11" i="32"/>
  <c r="I11" i="32"/>
  <c r="H11" i="32"/>
  <c r="G11" i="32"/>
  <c r="F11" i="32"/>
  <c r="D11" i="32"/>
  <c r="C11" i="32"/>
  <c r="Q11" i="31"/>
  <c r="P11" i="31"/>
  <c r="N11" i="31"/>
  <c r="M11" i="31"/>
  <c r="L11" i="31"/>
  <c r="K11" i="31"/>
  <c r="J11" i="31"/>
  <c r="I11" i="31"/>
  <c r="H11" i="31"/>
  <c r="G11" i="31"/>
  <c r="F11" i="31"/>
  <c r="D11" i="31"/>
  <c r="C11" i="31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C83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C11" i="6"/>
  <c r="M11" i="6" l="1"/>
  <c r="F11" i="6"/>
  <c r="G11" i="6"/>
  <c r="H11" i="6"/>
  <c r="N11" i="6"/>
  <c r="I11" i="6"/>
  <c r="P11" i="6"/>
  <c r="J11" i="6"/>
  <c r="Q11" i="6"/>
  <c r="K11" i="6"/>
  <c r="L11" i="6"/>
  <c r="D11" i="6"/>
</calcChain>
</file>

<file path=xl/sharedStrings.xml><?xml version="1.0" encoding="utf-8"?>
<sst xmlns="http://schemas.openxmlformats.org/spreadsheetml/2006/main" count="1102" uniqueCount="194">
  <si>
    <t>Demographic question</t>
  </si>
  <si>
    <t>G1a</t>
  </si>
  <si>
    <t>What is your sex?</t>
  </si>
  <si>
    <t>B1</t>
  </si>
  <si>
    <t>If you did not select ‘Walk’ for questions M1 or M2, which of the following prevents you from doing so? (select all that apply)</t>
  </si>
  <si>
    <t>Disability</t>
  </si>
  <si>
    <t>Distance/Effort</t>
  </si>
  <si>
    <t>Don’t Want To</t>
  </si>
  <si>
    <t>Road Safety/Traffic</t>
  </si>
  <si>
    <t>Weather/Terrain</t>
  </si>
  <si>
    <t>N/A</t>
  </si>
  <si>
    <t>Other (specify)</t>
  </si>
  <si>
    <t>Male</t>
  </si>
  <si>
    <t>Female</t>
  </si>
  <si>
    <t>Prefer not to say</t>
  </si>
  <si>
    <t>-</t>
  </si>
  <si>
    <t>Yes</t>
  </si>
  <si>
    <t>No</t>
  </si>
  <si>
    <t>G1b</t>
  </si>
  <si>
    <t>Does your gender identity match your sex as registered at birth?</t>
  </si>
  <si>
    <t>Total</t>
  </si>
  <si>
    <t>G2</t>
  </si>
  <si>
    <t>What age bracket do you fall within?</t>
  </si>
  <si>
    <t>0-15</t>
  </si>
  <si>
    <t>16-24</t>
  </si>
  <si>
    <t>25-34</t>
  </si>
  <si>
    <t>35-44</t>
  </si>
  <si>
    <t>45-54</t>
  </si>
  <si>
    <t>55-65</t>
  </si>
  <si>
    <t>65-74</t>
  </si>
  <si>
    <t>75+</t>
  </si>
  <si>
    <t>G3</t>
  </si>
  <si>
    <t>What is your ethnic group?</t>
  </si>
  <si>
    <t>Bangladeshi</t>
  </si>
  <si>
    <t>Chinese</t>
  </si>
  <si>
    <t>Indian</t>
  </si>
  <si>
    <t>Pakistani</t>
  </si>
  <si>
    <t>Other</t>
  </si>
  <si>
    <t>African</t>
  </si>
  <si>
    <t>Carribbean</t>
  </si>
  <si>
    <t>Other2</t>
  </si>
  <si>
    <t>Asian &amp; White</t>
  </si>
  <si>
    <t>Black African &amp; White</t>
  </si>
  <si>
    <t>Black Carribbean &amp; White</t>
  </si>
  <si>
    <t>Other3</t>
  </si>
  <si>
    <t>English/Welsh/Scottish/Northern Irish/British</t>
  </si>
  <si>
    <t>Gypsy or Irish Traveller</t>
  </si>
  <si>
    <t>Irish</t>
  </si>
  <si>
    <t>Other4</t>
  </si>
  <si>
    <t>Arab</t>
  </si>
  <si>
    <t>Any Other</t>
  </si>
  <si>
    <t>Asian</t>
  </si>
  <si>
    <t>Black</t>
  </si>
  <si>
    <t>Mixed</t>
  </si>
  <si>
    <t>White</t>
  </si>
  <si>
    <t>G4a</t>
  </si>
  <si>
    <t xml:space="preserve">Do you have any physical or mental health condition or illnesses lasting or expecting to last 12 months or more? </t>
  </si>
  <si>
    <t>EXAMPLE</t>
  </si>
  <si>
    <t>[If ‘Yes’ is given for G4a] Do any of your conditions or illnesses reduce your ability to travel?</t>
  </si>
  <si>
    <t>G5</t>
  </si>
  <si>
    <t>Which of the following best describes your sexual orientation?</t>
  </si>
  <si>
    <t>Heterosexual</t>
  </si>
  <si>
    <t>Gay/Lesbian</t>
  </si>
  <si>
    <t>Bisexual</t>
  </si>
  <si>
    <t>G6</t>
  </si>
  <si>
    <t>What is your religion or belief?</t>
  </si>
  <si>
    <t>No religion/belief</t>
  </si>
  <si>
    <t>Buddhist</t>
  </si>
  <si>
    <t>Christian</t>
  </si>
  <si>
    <t>Hindu</t>
  </si>
  <si>
    <t>Jewish</t>
  </si>
  <si>
    <t>Muslim</t>
  </si>
  <si>
    <t>Sikh</t>
  </si>
  <si>
    <t>G7</t>
  </si>
  <si>
    <t>Are you currently pregnant or have you been pregnant in the last year?</t>
  </si>
  <si>
    <t>B3</t>
  </si>
  <si>
    <t xml:space="preserve">Which of the following prevents you from regularly cycling to or from [work/the site]? (select all that apply) </t>
  </si>
  <si>
    <t>B2</t>
  </si>
  <si>
    <t>Which of the following prevents you from regularly walking the whole way to or from [work/the site]? (select all that apply)</t>
  </si>
  <si>
    <t>B4</t>
  </si>
  <si>
    <t>If you did not select ‘Cycle’ for questions M1 or M2, which of the following prevents you from doing so? (select all that apply)</t>
  </si>
  <si>
    <t>B5</t>
  </si>
  <si>
    <t>B6</t>
  </si>
  <si>
    <t>Which of the following prevents you from regularly taking public transport to or from [work/the site]?</t>
  </si>
  <si>
    <t>If you did not select a Public Transport mode for questions M1 or M2, which of the following prevents you from doing so? (select all that apply)</t>
  </si>
  <si>
    <t>Barrier questions</t>
  </si>
  <si>
    <t>VERSION CONTROL</t>
  </si>
  <si>
    <t>Date created</t>
  </si>
  <si>
    <t>Spreadsheet owner</t>
  </si>
  <si>
    <t>Spreadsheet owner service area</t>
  </si>
  <si>
    <t>Version</t>
  </si>
  <si>
    <t>Date updated</t>
  </si>
  <si>
    <t>Updated by</t>
  </si>
  <si>
    <t>Purpose of update</t>
  </si>
  <si>
    <t>Do not touch</t>
  </si>
  <si>
    <t>Manual input required</t>
  </si>
  <si>
    <t>Joe Smith</t>
  </si>
  <si>
    <t>Planning &amp; Development</t>
  </si>
  <si>
    <t>SPREADSHEET PURPOSE</t>
  </si>
  <si>
    <t>This tool has been produced to assist those who are undertaking travel surveys as part of Travel Plan monitoring requirements. Specifically, it is intended</t>
  </si>
  <si>
    <t>INSTRUCTIONS FOR USE</t>
  </si>
  <si>
    <t xml:space="preserve">• The user should use this tool to provide a breakdown of responses to barrier questions by each demographic variable. </t>
  </si>
  <si>
    <t>are coded G1a to G7.</t>
  </si>
  <si>
    <t>RESPONSES</t>
  </si>
  <si>
    <t>ADD</t>
  </si>
  <si>
    <t>• The user should complete each worksheet, leaving 0's in any cell where a response to a barrier was not provided. The user should then submit this spreadsheet with their monitoring report.</t>
  </si>
  <si>
    <t>to assist with the analysis of 'barrier questions' for walking, cycling and public transport (question codes B1 to B6) by demographic variables. Demographic questions</t>
  </si>
  <si>
    <t>G4b</t>
  </si>
  <si>
    <t>Poor walking routes</t>
  </si>
  <si>
    <t>Air quality</t>
  </si>
  <si>
    <t>Don't want to</t>
  </si>
  <si>
    <t>Need car for work</t>
  </si>
  <si>
    <t>Not confident</t>
  </si>
  <si>
    <t>Personal safety</t>
  </si>
  <si>
    <t>Work from home</t>
  </si>
  <si>
    <t>Care responsibilities</t>
  </si>
  <si>
    <t>Costs</t>
  </si>
  <si>
    <t>Distance/effort</t>
  </si>
  <si>
    <t>Don't own bike</t>
  </si>
  <si>
    <t>Fear of theft/vandalism</t>
  </si>
  <si>
    <t>Friends/family don't cycle</t>
  </si>
  <si>
    <t>Lack of cycle hire</t>
  </si>
  <si>
    <t>Lack of cycle parking</t>
  </si>
  <si>
    <t>Poor cycle routes</t>
  </si>
  <si>
    <t>Road safety/traffic</t>
  </si>
  <si>
    <t>Weather/terrain</t>
  </si>
  <si>
    <t>Cost</t>
  </si>
  <si>
    <t>Covid-19</t>
  </si>
  <si>
    <t>Infrequent/unreliable</t>
  </si>
  <si>
    <t>Limited operating hours</t>
  </si>
  <si>
    <t>Too far/indirect</t>
  </si>
  <si>
    <t>Too busy</t>
  </si>
  <si>
    <t>Travel time</t>
  </si>
  <si>
    <t>`</t>
  </si>
  <si>
    <t>WALKING</t>
  </si>
  <si>
    <t>Barriers to WALKING</t>
  </si>
  <si>
    <r>
      <t xml:space="preserve">• An example of how to present the data is given in the worksheet titled </t>
    </r>
    <r>
      <rPr>
        <i/>
        <sz val="11"/>
        <color theme="1"/>
        <rFont val="Calibri"/>
        <family val="2"/>
        <scheme val="minor"/>
      </rPr>
      <t>'WALKING (EXAMPLE)'</t>
    </r>
    <r>
      <rPr>
        <sz val="11"/>
        <color theme="1"/>
        <rFont val="Calibri"/>
        <family val="2"/>
        <scheme val="minor"/>
      </rPr>
      <t>.</t>
    </r>
  </si>
  <si>
    <t>• In this example, G1a was the demographic question. 7 of the respondents were female, 5 of whom stated that 'needing a car for work' was a barrier to walking. 4 said distance/effort was a barrier.</t>
  </si>
  <si>
    <t>Barriers to CYCLING</t>
  </si>
  <si>
    <t>Barriers to PUBLIC TRANSPORT</t>
  </si>
  <si>
    <t>SITE AND SURVEY DETAILS</t>
  </si>
  <si>
    <t>Site name</t>
  </si>
  <si>
    <t>Site address</t>
  </si>
  <si>
    <t>Planning permission reference</t>
  </si>
  <si>
    <t>Approved Travel Plan reference</t>
  </si>
  <si>
    <t>Travel Plan survey year</t>
  </si>
  <si>
    <t>Survey format</t>
  </si>
  <si>
    <t>(if unknown, leave blank)</t>
  </si>
  <si>
    <t>Survey date from (DD/MM/YYYY)</t>
  </si>
  <si>
    <t>select from dropdown</t>
  </si>
  <si>
    <t>Baseline</t>
  </si>
  <si>
    <t>Survey Year</t>
  </si>
  <si>
    <t>User Group</t>
  </si>
  <si>
    <t>General</t>
  </si>
  <si>
    <t>Year 1</t>
  </si>
  <si>
    <t>Year 2</t>
  </si>
  <si>
    <t>Year 3</t>
  </si>
  <si>
    <t>Students</t>
  </si>
  <si>
    <t>Year 4</t>
  </si>
  <si>
    <t>Visitor</t>
  </si>
  <si>
    <t>Year 5</t>
  </si>
  <si>
    <t>Year 6</t>
  </si>
  <si>
    <t>Year 7</t>
  </si>
  <si>
    <t>Year 8</t>
  </si>
  <si>
    <t>Year 9</t>
  </si>
  <si>
    <t>Year 10</t>
  </si>
  <si>
    <t>Survey Format</t>
  </si>
  <si>
    <t>Intercept</t>
  </si>
  <si>
    <t>Online</t>
  </si>
  <si>
    <t>Paper/Postal</t>
  </si>
  <si>
    <t>WORKSHEETS</t>
  </si>
  <si>
    <t>DESCRIPTION</t>
  </si>
  <si>
    <t>WALKING (EXAMPLE)</t>
  </si>
  <si>
    <t>CYCLING</t>
  </si>
  <si>
    <t>PUBLIC TRANSPORT</t>
  </si>
  <si>
    <t>Example showing how to enter data into spreadsheet.</t>
  </si>
  <si>
    <t>Worksheet for entering responses to WALKING barrier questions.</t>
  </si>
  <si>
    <t>Worksheet for entering responses to CYCLING barrier questions.</t>
  </si>
  <si>
    <t>Worksheet for entering responses to PUBLIC TRANSPORT barrier questions.</t>
  </si>
  <si>
    <t>Survey date to (DD/MM/YYYY)</t>
  </si>
  <si>
    <t xml:space="preserve">• Total responses by demographic variable to each barrier should be given; NOT an individual breakdown for each respondent. This is to ensure anonymity in line with GDPR Regulations. </t>
  </si>
  <si>
    <t>• Any signficant barriers that are identified for a demographic variable should then be highlighted in the accompanying monitoring report (i.e. the main results should be drawn out into the report).</t>
  </si>
  <si>
    <t>• Firstly, fill out the site and survey details below. Then proceed to enter your data in each worksheet.</t>
  </si>
  <si>
    <t>LEGEND</t>
  </si>
  <si>
    <t>V2</t>
  </si>
  <si>
    <t>Cover sheet amendments</t>
  </si>
  <si>
    <t>Survey group 1</t>
  </si>
  <si>
    <t>Survey group 2 (if applicable)</t>
  </si>
  <si>
    <t>Survey group 3 (if applicable)</t>
  </si>
  <si>
    <t>add details if response to Survey Format is 'Other' (e.g. mainly online but with some paper/postal)</t>
  </si>
  <si>
    <t>Residents</t>
  </si>
  <si>
    <t>Staff</t>
  </si>
  <si>
    <r>
      <t>• If you have carried out the surveys for more than one survey group (e.g. residents and staff), complete a separate worksheet for each and include the survey group in the tab name (e.g.</t>
    </r>
    <r>
      <rPr>
        <i/>
        <sz val="11"/>
        <color theme="1"/>
        <rFont val="Calibri"/>
        <family val="2"/>
        <scheme val="minor"/>
      </rPr>
      <t xml:space="preserve"> WALKING - RESIDENTS)</t>
    </r>
  </si>
  <si>
    <t>TRAVEL SURVEYS - COMMON BARRIERS ANALYSIS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</si>
</sst>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0" fontId="2" fillId="5" borderId="12" applyNumberFormat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3" borderId="0" xfId="0" applyFill="1"/>
    <xf numFmtId="0" fontId="3" fillId="0" borderId="0" xfId="0" applyFont="1"/>
    <xf numFmtId="0" fontId="7" fillId="3" borderId="0" xfId="0" applyFont="1" applyFill="1"/>
    <xf numFmtId="0" fontId="3" fillId="3" borderId="0" xfId="0" applyFont="1" applyFill="1"/>
    <xf numFmtId="0" fontId="0" fillId="3" borderId="0" xfId="0" applyFont="1" applyFill="1"/>
    <xf numFmtId="0" fontId="0" fillId="0" borderId="3" xfId="0" applyFill="1" applyBorder="1"/>
    <xf numFmtId="0" fontId="0" fillId="3" borderId="2" xfId="0" applyFill="1" applyBorder="1"/>
    <xf numFmtId="0" fontId="0" fillId="3" borderId="1" xfId="0" applyFill="1" applyBorder="1"/>
    <xf numFmtId="0" fontId="0" fillId="3" borderId="6" xfId="0" applyFill="1" applyBorder="1"/>
    <xf numFmtId="0" fontId="0" fillId="3" borderId="7" xfId="0" applyFill="1" applyBorder="1"/>
    <xf numFmtId="0" fontId="0" fillId="0" borderId="0" xfId="0" applyBorder="1"/>
    <xf numFmtId="0" fontId="0" fillId="0" borderId="1" xfId="0" applyFill="1" applyBorder="1"/>
    <xf numFmtId="0" fontId="0" fillId="3" borderId="2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Fill="1" applyBorder="1" applyAlignment="1"/>
    <xf numFmtId="0" fontId="0" fillId="3" borderId="9" xfId="0" applyFill="1" applyBorder="1" applyAlignment="1"/>
    <xf numFmtId="0" fontId="0" fillId="3" borderId="13" xfId="0" applyFill="1" applyBorder="1" applyAlignment="1"/>
    <xf numFmtId="0" fontId="0" fillId="0" borderId="1" xfId="0" applyBorder="1" applyAlignment="1"/>
    <xf numFmtId="0" fontId="0" fillId="0" borderId="13" xfId="0" applyBorder="1" applyAlignment="1"/>
    <xf numFmtId="0" fontId="0" fillId="0" borderId="0" xfId="0" applyFill="1" applyBorder="1"/>
    <xf numFmtId="0" fontId="8" fillId="0" borderId="0" xfId="0" applyFont="1"/>
    <xf numFmtId="0" fontId="1" fillId="3" borderId="0" xfId="0" applyFont="1" applyFill="1"/>
    <xf numFmtId="0" fontId="8" fillId="3" borderId="0" xfId="0" applyFont="1" applyFill="1"/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9" fillId="3" borderId="0" xfId="0" applyFont="1" applyFill="1"/>
    <xf numFmtId="0" fontId="6" fillId="3" borderId="0" xfId="0" applyFont="1" applyFill="1"/>
    <xf numFmtId="0" fontId="4" fillId="8" borderId="0" xfId="0" applyFont="1" applyFill="1"/>
    <xf numFmtId="0" fontId="2" fillId="5" borderId="12" xfId="1"/>
    <xf numFmtId="0" fontId="0" fillId="4" borderId="0" xfId="2" applyFont="1" applyFill="1"/>
    <xf numFmtId="0" fontId="2" fillId="5" borderId="1" xfId="1" applyBorder="1"/>
    <xf numFmtId="14" fontId="2" fillId="5" borderId="1" xfId="1" applyNumberFormat="1" applyBorder="1"/>
    <xf numFmtId="14" fontId="0" fillId="4" borderId="1" xfId="0" applyNumberForma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10" fillId="10" borderId="0" xfId="4" applyFill="1" applyBorder="1"/>
    <xf numFmtId="0" fontId="10" fillId="11" borderId="0" xfId="4" applyFill="1" applyBorder="1"/>
    <xf numFmtId="0" fontId="10" fillId="8" borderId="0" xfId="4" applyFill="1" applyBorder="1"/>
    <xf numFmtId="0" fontId="10" fillId="9" borderId="0" xfId="4" applyFill="1" applyBorder="1"/>
    <xf numFmtId="0" fontId="0" fillId="3" borderId="0" xfId="0" applyFill="1" applyBorder="1" applyAlignment="1">
      <alignment horizontal="right" vertical="center" textRotation="90" wrapText="1"/>
    </xf>
    <xf numFmtId="0" fontId="0" fillId="3" borderId="0" xfId="0" applyFill="1" applyAlignment="1">
      <alignment horizontal="left" vertical="center"/>
    </xf>
    <xf numFmtId="0" fontId="0" fillId="3" borderId="0" xfId="0" applyFill="1" applyBorder="1" applyAlignment="1">
      <alignment horizontal="right" vertical="center" textRotation="90"/>
    </xf>
    <xf numFmtId="0" fontId="0" fillId="0" borderId="0" xfId="0" applyFill="1" applyBorder="1" applyAlignment="1">
      <alignment horizontal="right" vertical="center" textRotation="90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right" vertical="center" textRotation="90"/>
    </xf>
  </cellXfs>
  <cellStyles count="5">
    <cellStyle name="20% - Accent3 2" xfId="2"/>
    <cellStyle name="20% - Accent4 2" xfId="3"/>
    <cellStyle name="Hyperlink" xfId="4" builtinId="8"/>
    <cellStyle name="Input" xfId="1" builtinId="20"/>
    <cellStyle name="Normal" xfId="0" builtinId="0"/>
  </cellStyles>
  <dxfs count="1154"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rgb="FF000000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rgb="FF000000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rgb="FF000000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rgb="FF000000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rgb="FF000000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rgb="FF000000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rgb="FF000000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rgb="FF000000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ill>
        <patternFill>
          <fgColor indexed="64"/>
          <bgColor theme="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fgColor indexed="64"/>
          <bgColor theme="0"/>
        </patternFill>
      </fill>
    </dxf>
    <dxf>
      <border outline="0">
        <bottom style="thin">
          <color rgb="FF000000"/>
        </bottom>
      </border>
    </dxf>
    <dxf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14</xdr:col>
      <xdr:colOff>59685</xdr:colOff>
      <xdr:row>7</xdr:row>
      <xdr:rowOff>140477</xdr:rowOff>
    </xdr:to>
    <xdr:pic>
      <xdr:nvPicPr>
        <xdr:cNvPr id="2" name="Picture 1" descr="Newham Council – Newham Counci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190500"/>
          <a:ext cx="3107685" cy="1616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7" name="Table2838" displayName="Table2838" ref="B7:Q11" totalsRowCount="1" headerRowDxfId="1153" dataDxfId="1151" totalsRowDxfId="1149" headerRowBorderDxfId="1152" tableBorderDxfId="1150" totalsRowBorderDxfId="1148">
  <autoFilter ref="B7:Q10"/>
  <tableColumns count="16">
    <tableColumn id="1" name="-" totalsRowLabel="Total" dataDxfId="1147" totalsRowDxfId="1146"/>
    <tableColumn id="16" name="RESPONSES" totalsRowFunction="sum" dataDxfId="1145" totalsRowDxfId="1144"/>
    <tableColumn id="2" name="Air quality" totalsRowFunction="sum" dataDxfId="1143" totalsRowDxfId="1142"/>
    <tableColumn id="17" name="Care responsibilities" dataDxfId="1141" totalsRowDxfId="1140"/>
    <tableColumn id="3" name="Disability" totalsRowFunction="sum" dataDxfId="1139" totalsRowDxfId="1138"/>
    <tableColumn id="4" name="Distance/Effort" totalsRowFunction="sum" dataDxfId="1137" totalsRowDxfId="1136"/>
    <tableColumn id="5" name="Don't want to" totalsRowFunction="sum" dataDxfId="1135" totalsRowDxfId="1134"/>
    <tableColumn id="6" name="Need car for work" totalsRowFunction="sum" dataDxfId="1133" totalsRowDxfId="1132"/>
    <tableColumn id="7" name="Not confident" totalsRowFunction="sum" dataDxfId="1131" totalsRowDxfId="1130"/>
    <tableColumn id="8" name="Personal safety" totalsRowFunction="sum" dataDxfId="1129" totalsRowDxfId="1128"/>
    <tableColumn id="9" name="Poor walking routes" totalsRowFunction="sum" dataDxfId="1127" totalsRowDxfId="1126"/>
    <tableColumn id="11" name="Road Safety/Traffic" totalsRowFunction="sum" dataDxfId="1125" totalsRowDxfId="1124"/>
    <tableColumn id="13" name="Weather/Terrain" totalsRowFunction="sum" dataDxfId="1123" totalsRowDxfId="1122"/>
    <tableColumn id="18" name="Work from home" dataDxfId="1121" totalsRowDxfId="1120"/>
    <tableColumn id="14" name="N/A" totalsRowFunction="sum" dataDxfId="1119" totalsRowDxfId="1118"/>
    <tableColumn id="15" name="Other (specify)" totalsRowFunction="sum" dataDxfId="1117" totalsRowDxfId="1116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36" name="Table2457937" displayName="Table2457937" ref="B69:Q73" totalsRowCount="1" headerRowDxfId="827" headerRowBorderDxfId="826" tableBorderDxfId="825" totalsRowBorderDxfId="824">
  <autoFilter ref="B69:Q72"/>
  <tableColumns count="16">
    <tableColumn id="1" name="-" totalsRowLabel="Total" dataDxfId="823" totalsRowDxfId="822"/>
    <tableColumn id="16" name="RESPONSES" totalsRowFunction="sum" dataDxfId="821" totalsRowDxfId="820"/>
    <tableColumn id="2" name="Air quality" totalsRowFunction="sum" dataDxfId="819" totalsRowDxfId="818"/>
    <tableColumn id="3" name="Care responsibilities" totalsRowFunction="sum" dataDxfId="817" totalsRowDxfId="816"/>
    <tableColumn id="4" name="Disability" totalsRowFunction="sum" dataDxfId="815" totalsRowDxfId="814"/>
    <tableColumn id="5" name="Distance/Effort" totalsRowFunction="sum" dataDxfId="813" totalsRowDxfId="812"/>
    <tableColumn id="6" name="Don't want to" totalsRowFunction="sum" dataDxfId="811" totalsRowDxfId="810"/>
    <tableColumn id="7" name="Need car for work" totalsRowFunction="sum" dataDxfId="809" totalsRowDxfId="808"/>
    <tableColumn id="8" name="Not confident" totalsRowFunction="sum" dataDxfId="807" totalsRowDxfId="806"/>
    <tableColumn id="9" name="Personal safety" totalsRowFunction="sum" dataDxfId="805" totalsRowDxfId="804"/>
    <tableColumn id="10" name="Poor walking routes" totalsRowFunction="sum" dataDxfId="803" totalsRowDxfId="802"/>
    <tableColumn id="11" name="Road Safety/Traffic" totalsRowFunction="custom" dataDxfId="801" totalsRowDxfId="800">
      <totalsRowFormula>SUBTOTAL(109,Table2457937[Care responsibilities])</totalsRowFormula>
    </tableColumn>
    <tableColumn id="12" name="Weather/Terrain" totalsRowFunction="custom" dataDxfId="799" totalsRowDxfId="798">
      <totalsRowFormula>SUBTOTAL(109,Table2457937[Disability])</totalsRowFormula>
    </tableColumn>
    <tableColumn id="13" name="Work from home" totalsRowFunction="custom" dataDxfId="797" totalsRowDxfId="796">
      <totalsRowFormula>SUBTOTAL(109,Table2457937[Distance/Effort])</totalsRowFormula>
    </tableColumn>
    <tableColumn id="14" name="N/A" totalsRowFunction="custom" dataDxfId="795" totalsRowDxfId="794">
      <totalsRowFormula>SUBTOTAL(109,Table2457937[Don''t want to])</totalsRowFormula>
    </tableColumn>
    <tableColumn id="15" name="Other (specify)" totalsRowFunction="custom" dataDxfId="793" totalsRowDxfId="792">
      <totalsRowFormula>SUBTOTAL(109,Table2457937[Need car for work])</totalsRow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55" name="Table28256" displayName="Table28256" ref="B7:W11" totalsRowCount="1" headerRowDxfId="791" headerRowBorderDxfId="790" tableBorderDxfId="789" totalsRowBorderDxfId="788">
  <autoFilter ref="B7:W10"/>
  <tableColumns count="22">
    <tableColumn id="1" name="-" totalsRowLabel="Total" dataDxfId="787" totalsRowDxfId="786"/>
    <tableColumn id="16" name="RESPONSES" totalsRowFunction="sum" dataDxfId="785" totalsRowDxfId="784"/>
    <tableColumn id="2" name="Air quality" totalsRowFunction="sum" dataDxfId="783" totalsRowDxfId="782"/>
    <tableColumn id="25" name="Care responsibilities" totalsRowFunction="sum" dataDxfId="781" totalsRowDxfId="780"/>
    <tableColumn id="3" name="Costs" totalsRowFunction="sum" dataDxfId="779" totalsRowDxfId="778"/>
    <tableColumn id="4" name="Disability" totalsRowFunction="sum" dataDxfId="777" totalsRowDxfId="776"/>
    <tableColumn id="5" name="Distance/effort" totalsRowFunction="sum" dataDxfId="775" totalsRowDxfId="774"/>
    <tableColumn id="6" name="Don't own bike" totalsRowFunction="sum" dataDxfId="773" totalsRowDxfId="772"/>
    <tableColumn id="7" name="Don't want to" totalsRowFunction="sum" dataDxfId="771" totalsRowDxfId="770"/>
    <tableColumn id="8" name="Fear of theft/vandalism" totalsRowFunction="sum" dataDxfId="769" totalsRowDxfId="768"/>
    <tableColumn id="9" name="Friends/family don't cycle" totalsRowFunction="sum" dataDxfId="767" totalsRowDxfId="766"/>
    <tableColumn id="10" name="Lack of cycle hire" totalsRowFunction="sum" dataDxfId="765" totalsRowDxfId="764"/>
    <tableColumn id="11" name="Lack of cycle parking" totalsRowFunction="sum" dataDxfId="763" totalsRowDxfId="762"/>
    <tableColumn id="12" name="Need car for work" totalsRowFunction="sum" dataDxfId="761" totalsRowDxfId="760"/>
    <tableColumn id="13" name="Not confident" totalsRowFunction="sum" dataDxfId="759" totalsRowDxfId="758"/>
    <tableColumn id="14" name="Personal safety" totalsRowFunction="sum" dataDxfId="757" totalsRowDxfId="756"/>
    <tableColumn id="17" name="Poor cycle routes" totalsRowFunction="sum" dataDxfId="755" totalsRowDxfId="754"/>
    <tableColumn id="19" name="Road safety/traffic" totalsRowFunction="sum" dataDxfId="753" totalsRowDxfId="752"/>
    <tableColumn id="22" name="Weather/terrain" totalsRowFunction="sum" dataDxfId="751" totalsRowDxfId="750"/>
    <tableColumn id="26" name="Work from home" totalsRowFunction="sum" dataDxfId="749" totalsRowDxfId="748"/>
    <tableColumn id="23" name="N/A" totalsRowFunction="sum" dataDxfId="747" totalsRowDxfId="746"/>
    <tableColumn id="24" name="Other (specify)" totalsRowFunction="sum" dataDxfId="745" totalsRowDxfId="744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56" name="Table241357" displayName="Table241357" ref="B15:W19" totalsRowCount="1" headerRowDxfId="743" headerRowBorderDxfId="742" tableBorderDxfId="741" totalsRowBorderDxfId="740">
  <autoFilter ref="B15:W18"/>
  <tableColumns count="22">
    <tableColumn id="1" name="-" totalsRowLabel="Total" dataDxfId="739" totalsRowDxfId="738"/>
    <tableColumn id="16" name="RESPONSES" totalsRowFunction="sum" dataDxfId="737" totalsRowDxfId="736"/>
    <tableColumn id="2" name="Air quality" totalsRowFunction="sum" dataDxfId="735" totalsRowDxfId="734"/>
    <tableColumn id="3" name="Care responsibilities" totalsRowFunction="sum" dataDxfId="733" totalsRowDxfId="732"/>
    <tableColumn id="4" name="Costs" totalsRowFunction="sum" dataDxfId="731" totalsRowDxfId="730"/>
    <tableColumn id="5" name="Disability" totalsRowFunction="sum" dataDxfId="729" totalsRowDxfId="728"/>
    <tableColumn id="6" name="Distance/effort" totalsRowFunction="sum" dataDxfId="727" totalsRowDxfId="726"/>
    <tableColumn id="7" name="Don't own bike" totalsRowFunction="sum" dataDxfId="725" totalsRowDxfId="724"/>
    <tableColumn id="8" name="Don't want to" totalsRowFunction="sum" dataDxfId="723" totalsRowDxfId="722"/>
    <tableColumn id="9" name="Fear of theft/vandalism" totalsRowFunction="sum" dataDxfId="721" totalsRowDxfId="720"/>
    <tableColumn id="10" name="Friends/family don't cycle" totalsRowFunction="sum" dataDxfId="719" totalsRowDxfId="718"/>
    <tableColumn id="11" name="Lack of cycle hire" totalsRowFunction="custom" dataDxfId="717" totalsRowDxfId="716">
      <totalsRowFormula>SUBTOTAL(109,Table241357[Care responsibilities])</totalsRowFormula>
    </tableColumn>
    <tableColumn id="12" name="Lack of cycle parking" totalsRowFunction="custom" dataDxfId="715" totalsRowDxfId="714">
      <totalsRowFormula>SUBTOTAL(109,Table241357[Costs])</totalsRowFormula>
    </tableColumn>
    <tableColumn id="13" name="Need car for work" totalsRowFunction="custom" dataDxfId="713" totalsRowDxfId="712">
      <totalsRowFormula>SUBTOTAL(109,Table241357[Disability])</totalsRowFormula>
    </tableColumn>
    <tableColumn id="14" name="Not confident" totalsRowFunction="custom" dataDxfId="711" totalsRowDxfId="710">
      <totalsRowFormula>SUBTOTAL(109,Table241357[Distance/effort])</totalsRowFormula>
    </tableColumn>
    <tableColumn id="15" name="Personal safety" totalsRowFunction="custom" dataDxfId="709" totalsRowDxfId="708">
      <totalsRowFormula>SUBTOTAL(109,Table241357[Don''t own bike])</totalsRowFormula>
    </tableColumn>
    <tableColumn id="17" name="Poor cycle routes" totalsRowFunction="custom" dataDxfId="707" totalsRowDxfId="706">
      <totalsRowFormula>SUBTOTAL(109,Table241357[Don''t want to])</totalsRowFormula>
    </tableColumn>
    <tableColumn id="18" name="Road safety/traffic" totalsRowFunction="custom" dataDxfId="705" totalsRowDxfId="704">
      <totalsRowFormula>SUBTOTAL(109,Table241357[Fear of theft/vandalism])</totalsRowFormula>
    </tableColumn>
    <tableColumn id="19" name="Weather/terrain" totalsRowFunction="custom" dataDxfId="703" totalsRowDxfId="702">
      <totalsRowFormula>SUBTOTAL(109,Table241357[Friends/family don''t cycle])</totalsRowFormula>
    </tableColumn>
    <tableColumn id="20" name="Work from home" totalsRowFunction="custom" dataDxfId="701" totalsRowDxfId="700">
      <totalsRowFormula>SUBTOTAL(109,Table241357[Lack of cycle hire])</totalsRowFormula>
    </tableColumn>
    <tableColumn id="21" name="N/A" totalsRowFunction="custom" dataDxfId="699" totalsRowDxfId="698">
      <totalsRowFormula>SUBTOTAL(109,Table241357[Lack of cycle parking])</totalsRowFormula>
    </tableColumn>
    <tableColumn id="22" name="Other (specify)" totalsRowFunction="custom" dataDxfId="697" totalsRowDxfId="696">
      <totalsRowFormula>SUBTOTAL(109,Table241357[Need car for work])</totalsRowFormula>
    </tableColumn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57" name="Table2451458" displayName="Table2451458" ref="B23:W33" totalsRowCount="1" headerRowDxfId="695" headerRowBorderDxfId="694" tableBorderDxfId="693" totalsRowBorderDxfId="692">
  <autoFilter ref="B23:W32"/>
  <tableColumns count="22">
    <tableColumn id="1" name="-" totalsRowLabel="Total" dataDxfId="691" totalsRowDxfId="690"/>
    <tableColumn id="16" name="RESPONSES" totalsRowFunction="sum" dataDxfId="689" totalsRowDxfId="688"/>
    <tableColumn id="2" name="Air quality" totalsRowFunction="sum" dataDxfId="687" totalsRowDxfId="686"/>
    <tableColumn id="3" name="Care responsibilities" totalsRowFunction="sum" dataDxfId="685" totalsRowDxfId="684"/>
    <tableColumn id="4" name="Costs" totalsRowFunction="sum" dataDxfId="683" totalsRowDxfId="682"/>
    <tableColumn id="5" name="Disability" totalsRowFunction="sum" dataDxfId="681" totalsRowDxfId="680"/>
    <tableColumn id="6" name="Distance/effort" totalsRowFunction="sum" dataDxfId="679" totalsRowDxfId="678"/>
    <tableColumn id="7" name="Don't own bike" totalsRowFunction="sum" dataDxfId="677" totalsRowDxfId="676"/>
    <tableColumn id="8" name="Don't want to" totalsRowFunction="sum" dataDxfId="675" totalsRowDxfId="674"/>
    <tableColumn id="9" name="Fear of theft/vandalism" totalsRowFunction="sum" dataDxfId="673" totalsRowDxfId="672"/>
    <tableColumn id="10" name="Friends/family don't cycle" totalsRowFunction="sum" dataDxfId="671" totalsRowDxfId="670"/>
    <tableColumn id="11" name="Lack of cycle hire" totalsRowFunction="custom" dataDxfId="669" totalsRowDxfId="668">
      <totalsRowFormula>SUBTOTAL(109,Table2451458[Care responsibilities])</totalsRowFormula>
    </tableColumn>
    <tableColumn id="12" name="Lack of cycle parking" totalsRowFunction="custom" dataDxfId="667" totalsRowDxfId="666">
      <totalsRowFormula>SUBTOTAL(109,Table2451458[Costs])</totalsRowFormula>
    </tableColumn>
    <tableColumn id="13" name="Need car for work" totalsRowFunction="custom" dataDxfId="665" totalsRowDxfId="664">
      <totalsRowFormula>SUBTOTAL(109,Table2451458[Disability])</totalsRowFormula>
    </tableColumn>
    <tableColumn id="14" name="Not confident" totalsRowFunction="custom" dataDxfId="663" totalsRowDxfId="662">
      <totalsRowFormula>SUBTOTAL(109,Table2451458[Distance/effort])</totalsRowFormula>
    </tableColumn>
    <tableColumn id="15" name="Personal safety" totalsRowFunction="custom" dataDxfId="661" totalsRowDxfId="660">
      <totalsRowFormula>SUBTOTAL(109,Table2451458[Don''t own bike])</totalsRowFormula>
    </tableColumn>
    <tableColumn id="17" name="Poor cycle routes" totalsRowFunction="custom" dataDxfId="659" totalsRowDxfId="658">
      <totalsRowFormula>SUBTOTAL(109,Table2451458[Don''t want to])</totalsRowFormula>
    </tableColumn>
    <tableColumn id="18" name="Road safety/traffic" totalsRowFunction="custom" dataDxfId="657" totalsRowDxfId="656">
      <totalsRowFormula>SUBTOTAL(109,Table2451458[Fear of theft/vandalism])</totalsRowFormula>
    </tableColumn>
    <tableColumn id="19" name="Weather/terrain" totalsRowFunction="custom" dataDxfId="655" totalsRowDxfId="654">
      <totalsRowFormula>SUBTOTAL(109,Table2451458[Friends/family don''t cycle])</totalsRowFormula>
    </tableColumn>
    <tableColumn id="20" name="Work from home" totalsRowFunction="custom" dataDxfId="653" totalsRowDxfId="652">
      <totalsRowFormula>SUBTOTAL(109,Table2451458[Lack of cycle hire])</totalsRowFormula>
    </tableColumn>
    <tableColumn id="21" name="N/A" totalsRowFunction="custom" dataDxfId="651" totalsRowDxfId="650">
      <totalsRowFormula>SUBTOTAL(109,Table2451458[Lack of cycle parking])</totalsRowFormula>
    </tableColumn>
    <tableColumn id="22" name="Other (specify)" totalsRowFunction="custom" dataDxfId="649" totalsRowDxfId="648">
      <totalsRowFormula>SUBTOTAL(109,Table2451458[Need car for work])</totalsRowFormula>
    </tableColumn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58" name="Table24562359" displayName="Table24562359" ref="B37:W57" totalsRowCount="1" headerRowDxfId="647" headerRowBorderDxfId="646" tableBorderDxfId="645" totalsRowBorderDxfId="644">
  <autoFilter ref="B37:W56"/>
  <tableColumns count="22">
    <tableColumn id="1" name="-" totalsRowLabel="Total" dataDxfId="643" totalsRowDxfId="642"/>
    <tableColumn id="16" name="RESPONSES" totalsRowFunction="sum" dataDxfId="641" totalsRowDxfId="640"/>
    <tableColumn id="2" name="Air quality" totalsRowFunction="sum" dataDxfId="639" totalsRowDxfId="638"/>
    <tableColumn id="3" name="Care responsibilities" totalsRowFunction="sum" dataDxfId="637" totalsRowDxfId="636"/>
    <tableColumn id="4" name="Costs" totalsRowFunction="sum" dataDxfId="635" totalsRowDxfId="634"/>
    <tableColumn id="5" name="Disability" totalsRowFunction="sum" dataDxfId="633" totalsRowDxfId="632"/>
    <tableColumn id="6" name="Distance/effort" totalsRowFunction="sum" dataDxfId="631" totalsRowDxfId="630"/>
    <tableColumn id="7" name="Don't own bike" totalsRowFunction="sum" dataDxfId="629" totalsRowDxfId="628"/>
    <tableColumn id="8" name="Don't want to" totalsRowFunction="sum" dataDxfId="627" totalsRowDxfId="626"/>
    <tableColumn id="9" name="Fear of theft/vandalism" totalsRowFunction="sum" dataDxfId="625" totalsRowDxfId="624"/>
    <tableColumn id="10" name="Friends/family don't cycle" totalsRowFunction="sum" dataDxfId="623" totalsRowDxfId="622"/>
    <tableColumn id="11" name="Lack of cycle hire" totalsRowFunction="sum" dataDxfId="621" totalsRowDxfId="620"/>
    <tableColumn id="12" name="Lack of cycle parking" totalsRowFunction="sum" dataDxfId="619" totalsRowDxfId="618"/>
    <tableColumn id="13" name="Need car for work" totalsRowFunction="sum" dataDxfId="617" totalsRowDxfId="616"/>
    <tableColumn id="14" name="Not confident" totalsRowFunction="sum" dataDxfId="615" totalsRowDxfId="614"/>
    <tableColumn id="15" name="Personal safety" totalsRowFunction="sum" dataDxfId="613" totalsRowDxfId="612"/>
    <tableColumn id="17" name="Poor cycle routes" totalsRowFunction="sum" dataDxfId="611" totalsRowDxfId="610"/>
    <tableColumn id="18" name="Road safety/traffic" totalsRowFunction="sum" dataDxfId="609" totalsRowDxfId="608"/>
    <tableColumn id="19" name="Weather/terrain" totalsRowFunction="sum" dataDxfId="607" totalsRowDxfId="606"/>
    <tableColumn id="20" name="Work from home" totalsRowFunction="sum" dataDxfId="605" totalsRowDxfId="604"/>
    <tableColumn id="21" name="N/A" totalsRowFunction="sum" dataDxfId="603" totalsRowDxfId="602"/>
    <tableColumn id="22" name="Other (specify)" totalsRowFunction="sum" dataDxfId="601" totalsRowDxfId="600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59" name="Table24571560" displayName="Table24571560" ref="B61:W65" totalsRowCount="1" headerRowDxfId="599" headerRowBorderDxfId="598" tableBorderDxfId="597" totalsRowBorderDxfId="596">
  <autoFilter ref="B61:W64"/>
  <tableColumns count="22">
    <tableColumn id="1" name="-" totalsRowLabel="Total" dataDxfId="595" totalsRowDxfId="594"/>
    <tableColumn id="16" name="RESPONSES" totalsRowFunction="sum" dataDxfId="593" totalsRowDxfId="592"/>
    <tableColumn id="2" name="Air quality" totalsRowFunction="sum" dataDxfId="591" totalsRowDxfId="590"/>
    <tableColumn id="3" name="Care responsibilities" totalsRowFunction="sum" dataDxfId="589" totalsRowDxfId="588"/>
    <tableColumn id="4" name="Costs" totalsRowFunction="sum" dataDxfId="587" totalsRowDxfId="586"/>
    <tableColumn id="5" name="Disability" totalsRowFunction="sum" dataDxfId="585" totalsRowDxfId="584"/>
    <tableColumn id="6" name="Distance/effort" totalsRowFunction="sum" dataDxfId="583" totalsRowDxfId="582"/>
    <tableColumn id="7" name="Don't own bike" totalsRowFunction="sum" dataDxfId="581" totalsRowDxfId="580"/>
    <tableColumn id="8" name="Don't want to" totalsRowFunction="sum" dataDxfId="579" totalsRowDxfId="578"/>
    <tableColumn id="9" name="Fear of theft/vandalism" totalsRowFunction="sum" dataDxfId="577" totalsRowDxfId="576"/>
    <tableColumn id="10" name="Friends/family don't cycle" totalsRowFunction="sum" dataDxfId="575" totalsRowDxfId="574"/>
    <tableColumn id="11" name="Lack of cycle hire" totalsRowFunction="custom" dataDxfId="573" totalsRowDxfId="572">
      <totalsRowFormula>SUBTOTAL(109,Table24571560[Care responsibilities])</totalsRowFormula>
    </tableColumn>
    <tableColumn id="12" name="Lack of cycle parking" totalsRowFunction="custom" dataDxfId="571" totalsRowDxfId="570">
      <totalsRowFormula>SUBTOTAL(109,Table24571560[Costs])</totalsRowFormula>
    </tableColumn>
    <tableColumn id="13" name="Need car for work" totalsRowFunction="custom" dataDxfId="569" totalsRowDxfId="568">
      <totalsRowFormula>SUBTOTAL(109,Table24571560[Disability])</totalsRowFormula>
    </tableColumn>
    <tableColumn id="14" name="Not confident" totalsRowFunction="custom" dataDxfId="567" totalsRowDxfId="566">
      <totalsRowFormula>SUBTOTAL(109,Table24571560[Distance/effort])</totalsRowFormula>
    </tableColumn>
    <tableColumn id="15" name="Personal safety" totalsRowFunction="custom" dataDxfId="565" totalsRowDxfId="564">
      <totalsRowFormula>SUBTOTAL(109,Table24571560[Don''t own bike])</totalsRowFormula>
    </tableColumn>
    <tableColumn id="17" name="Poor cycle routes" totalsRowFunction="custom" dataDxfId="563" totalsRowDxfId="562">
      <totalsRowFormula>SUBTOTAL(109,Table24571560[Don''t want to])</totalsRowFormula>
    </tableColumn>
    <tableColumn id="18" name="Road safety/traffic" totalsRowFunction="custom" dataDxfId="561" totalsRowDxfId="560">
      <totalsRowFormula>SUBTOTAL(109,Table24571560[Fear of theft/vandalism])</totalsRowFormula>
    </tableColumn>
    <tableColumn id="19" name="Weather/terrain" totalsRowFunction="custom" dataDxfId="559" totalsRowDxfId="558">
      <totalsRowFormula>SUBTOTAL(109,Table24571560[Friends/family don''t cycle])</totalsRowFormula>
    </tableColumn>
    <tableColumn id="20" name="Work from home" totalsRowFunction="custom" dataDxfId="557" totalsRowDxfId="556">
      <totalsRowFormula>SUBTOTAL(109,Table24571560[Lack of cycle hire])</totalsRowFormula>
    </tableColumn>
    <tableColumn id="21" name="N/A" totalsRowFunction="custom" dataDxfId="555" totalsRowDxfId="554">
      <totalsRowFormula>SUBTOTAL(109,Table24571560[Lack of cycle parking])</totalsRowFormula>
    </tableColumn>
    <tableColumn id="22" name="Other (specify)" totalsRowFunction="custom" dataDxfId="553" totalsRowDxfId="552">
      <totalsRowFormula>SUBTOTAL(109,Table24571560[Need car for work])</totalsRowFormula>
    </tableColumn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60" name="Table245791661" displayName="Table245791661" ref="B69:W73" totalsRowCount="1" headerRowDxfId="551" headerRowBorderDxfId="550" tableBorderDxfId="549" totalsRowBorderDxfId="548">
  <autoFilter ref="B69:W72"/>
  <tableColumns count="22">
    <tableColumn id="1" name="-" totalsRowLabel="Total" dataDxfId="547" totalsRowDxfId="546"/>
    <tableColumn id="16" name="RESPONSES" totalsRowFunction="sum" dataDxfId="545" totalsRowDxfId="544"/>
    <tableColumn id="2" name="Air quality" totalsRowFunction="sum" dataDxfId="543" totalsRowDxfId="542"/>
    <tableColumn id="3" name="Care responsibilities" totalsRowFunction="sum" dataDxfId="541" totalsRowDxfId="540"/>
    <tableColumn id="4" name="Costs" totalsRowFunction="sum" dataDxfId="539" totalsRowDxfId="538"/>
    <tableColumn id="5" name="Disability" totalsRowFunction="sum" dataDxfId="537" totalsRowDxfId="536"/>
    <tableColumn id="6" name="Distance/effort" totalsRowFunction="sum" dataDxfId="535" totalsRowDxfId="534"/>
    <tableColumn id="7" name="Don't own bike" totalsRowFunction="sum" dataDxfId="533" totalsRowDxfId="532"/>
    <tableColumn id="8" name="Don't want to" totalsRowFunction="sum" dataDxfId="531" totalsRowDxfId="530"/>
    <tableColumn id="9" name="Fear of theft/vandalism" totalsRowFunction="sum" dataDxfId="529" totalsRowDxfId="528"/>
    <tableColumn id="10" name="Friends/family don't cycle" totalsRowFunction="sum" dataDxfId="527" totalsRowDxfId="526"/>
    <tableColumn id="11" name="Lack of cycle hire" totalsRowFunction="custom" dataDxfId="525" totalsRowDxfId="524">
      <totalsRowFormula>SUBTOTAL(109,Table245791661[Care responsibilities])</totalsRowFormula>
    </tableColumn>
    <tableColumn id="12" name="Lack of cycle parking" totalsRowFunction="custom" dataDxfId="523" totalsRowDxfId="522">
      <totalsRowFormula>SUBTOTAL(109,Table245791661[Costs])</totalsRowFormula>
    </tableColumn>
    <tableColumn id="13" name="Need car for work" totalsRowFunction="custom" dataDxfId="521" totalsRowDxfId="520">
      <totalsRowFormula>SUBTOTAL(109,Table245791661[Disability])</totalsRowFormula>
    </tableColumn>
    <tableColumn id="14" name="Not confident" totalsRowFunction="custom" dataDxfId="519" totalsRowDxfId="518">
      <totalsRowFormula>SUBTOTAL(109,Table245791661[Distance/effort])</totalsRowFormula>
    </tableColumn>
    <tableColumn id="15" name="Personal safety" totalsRowFunction="custom" dataDxfId="517" totalsRowDxfId="516">
      <totalsRowFormula>SUBTOTAL(109,Table245791661[Don''t own bike])</totalsRowFormula>
    </tableColumn>
    <tableColumn id="17" name="Poor cycle routes" totalsRowFunction="custom" dataDxfId="515" totalsRowDxfId="514">
      <totalsRowFormula>SUBTOTAL(109,Table245791661[Don''t want to])</totalsRowFormula>
    </tableColumn>
    <tableColumn id="18" name="Road safety/traffic" totalsRowFunction="custom" dataDxfId="513" totalsRowDxfId="512">
      <totalsRowFormula>SUBTOTAL(109,Table245791661[Fear of theft/vandalism])</totalsRowFormula>
    </tableColumn>
    <tableColumn id="19" name="Weather/terrain" totalsRowFunction="custom" dataDxfId="511" totalsRowDxfId="510">
      <totalsRowFormula>SUBTOTAL(109,Table245791661[Friends/family don''t cycle])</totalsRowFormula>
    </tableColumn>
    <tableColumn id="20" name="Work from home" totalsRowFunction="custom" dataDxfId="509" totalsRowDxfId="508">
      <totalsRowFormula>SUBTOTAL(109,Table245791661[Lack of cycle hire])</totalsRowFormula>
    </tableColumn>
    <tableColumn id="21" name="N/A" totalsRowFunction="custom" dataDxfId="507" totalsRowDxfId="506">
      <totalsRowFormula>SUBTOTAL(109,Table245791661[Lack of cycle parking])</totalsRowFormula>
    </tableColumn>
    <tableColumn id="22" name="Other (specify)" totalsRowFunction="custom" dataDxfId="505" totalsRowDxfId="504">
      <totalsRowFormula>SUBTOTAL(109,Table245791661[Need car for work])</totalsRowFormula>
    </tableColumn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61" name="Table24579101762" displayName="Table24579101762" ref="B77:W83" totalsRowCount="1" headerRowDxfId="503" headerRowBorderDxfId="502" tableBorderDxfId="501" totalsRowBorderDxfId="500">
  <autoFilter ref="B77:W82"/>
  <tableColumns count="22">
    <tableColumn id="1" name="-" totalsRowLabel="Total" dataDxfId="499" totalsRowDxfId="498"/>
    <tableColumn id="16" name="RESPONSES" totalsRowFunction="sum" dataDxfId="497" totalsRowDxfId="496"/>
    <tableColumn id="2" name="Air quality" totalsRowFunction="sum" dataDxfId="495" totalsRowDxfId="494"/>
    <tableColumn id="3" name="Care responsibilities" totalsRowFunction="sum" dataDxfId="493" totalsRowDxfId="492"/>
    <tableColumn id="4" name="Costs" totalsRowFunction="sum" dataDxfId="491" totalsRowDxfId="490"/>
    <tableColumn id="5" name="Disability" totalsRowFunction="sum" dataDxfId="489" totalsRowDxfId="488"/>
    <tableColumn id="6" name="Distance/effort" totalsRowFunction="sum" dataDxfId="487" totalsRowDxfId="486"/>
    <tableColumn id="7" name="Don't own bike" totalsRowFunction="sum" dataDxfId="485" totalsRowDxfId="484"/>
    <tableColumn id="8" name="Don't want to" totalsRowFunction="sum" dataDxfId="483" totalsRowDxfId="482"/>
    <tableColumn id="9" name="Fear of theft/vandalism" totalsRowFunction="sum" dataDxfId="481" totalsRowDxfId="480"/>
    <tableColumn id="10" name="Friends/family don't cycle" totalsRowFunction="sum" dataDxfId="479" totalsRowDxfId="478"/>
    <tableColumn id="11" name="Lack of cycle hire" totalsRowFunction="custom" dataDxfId="477" totalsRowDxfId="476">
      <totalsRowFormula>SUBTOTAL(109,Table24579101762[Care responsibilities])</totalsRowFormula>
    </tableColumn>
    <tableColumn id="12" name="Lack of cycle parking" totalsRowFunction="custom" dataDxfId="475" totalsRowDxfId="474">
      <totalsRowFormula>SUBTOTAL(109,Table24579101762[Costs])</totalsRowFormula>
    </tableColumn>
    <tableColumn id="13" name="Need car for work" totalsRowFunction="custom" dataDxfId="473" totalsRowDxfId="472">
      <totalsRowFormula>SUBTOTAL(109,Table24579101762[Disability])</totalsRowFormula>
    </tableColumn>
    <tableColumn id="14" name="Not confident" totalsRowFunction="custom" dataDxfId="471" totalsRowDxfId="470">
      <totalsRowFormula>SUBTOTAL(109,Table24579101762[Distance/effort])</totalsRowFormula>
    </tableColumn>
    <tableColumn id="15" name="Personal safety" totalsRowFunction="custom" dataDxfId="469" totalsRowDxfId="468">
      <totalsRowFormula>SUBTOTAL(109,Table24579101762[Don''t own bike])</totalsRowFormula>
    </tableColumn>
    <tableColumn id="17" name="Poor cycle routes" totalsRowFunction="custom" dataDxfId="467" totalsRowDxfId="466">
      <totalsRowFormula>SUBTOTAL(109,Table24579101762[Don''t want to])</totalsRowFormula>
    </tableColumn>
    <tableColumn id="18" name="Road safety/traffic" totalsRowFunction="custom" dataDxfId="465" totalsRowDxfId="464">
      <totalsRowFormula>SUBTOTAL(109,Table24579101762[Fear of theft/vandalism])</totalsRowFormula>
    </tableColumn>
    <tableColumn id="19" name="Weather/terrain" totalsRowFunction="custom" dataDxfId="463" totalsRowDxfId="462">
      <totalsRowFormula>SUBTOTAL(109,Table24579101762[Friends/family don''t cycle])</totalsRowFormula>
    </tableColumn>
    <tableColumn id="20" name="Work from home" totalsRowFunction="custom" dataDxfId="461" totalsRowDxfId="460">
      <totalsRowFormula>SUBTOTAL(109,Table24579101762[Lack of cycle hire])</totalsRowFormula>
    </tableColumn>
    <tableColumn id="21" name="N/A" totalsRowFunction="custom" dataDxfId="459" totalsRowDxfId="458">
      <totalsRowFormula>SUBTOTAL(109,Table24579101762[Lack of cycle parking])</totalsRowFormula>
    </tableColumn>
    <tableColumn id="22" name="Other (specify)" totalsRowFunction="custom" dataDxfId="457" totalsRowDxfId="456">
      <totalsRowFormula>SUBTOTAL(109,Table24579101762[Need car for work])</totalsRowFormula>
    </tableColumn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62" name="Table2457910111863" displayName="Table2457910111863" ref="B87:W97" totalsRowCount="1" headerRowDxfId="455" headerRowBorderDxfId="454" tableBorderDxfId="453" totalsRowBorderDxfId="452">
  <autoFilter ref="B87:W96"/>
  <tableColumns count="22">
    <tableColumn id="1" name="-" totalsRowLabel="Total" dataDxfId="451" totalsRowDxfId="450"/>
    <tableColumn id="16" name="RESPONSES" totalsRowFunction="sum" dataDxfId="449" totalsRowDxfId="448"/>
    <tableColumn id="2" name="Air quality" totalsRowFunction="sum" dataDxfId="447" totalsRowDxfId="446"/>
    <tableColumn id="3" name="Care responsibilities" totalsRowFunction="sum" dataDxfId="445" totalsRowDxfId="444"/>
    <tableColumn id="4" name="Costs" totalsRowFunction="sum" dataDxfId="443" totalsRowDxfId="442"/>
    <tableColumn id="5" name="Disability" totalsRowFunction="sum" dataDxfId="441" totalsRowDxfId="440"/>
    <tableColumn id="6" name="Distance/effort" totalsRowFunction="sum" dataDxfId="439" totalsRowDxfId="438"/>
    <tableColumn id="7" name="Don't own bike" totalsRowFunction="sum" dataDxfId="437" totalsRowDxfId="436"/>
    <tableColumn id="8" name="Don't want to" totalsRowFunction="sum" dataDxfId="435" totalsRowDxfId="434"/>
    <tableColumn id="9" name="Fear of theft/vandalism" totalsRowFunction="sum" dataDxfId="433" totalsRowDxfId="432"/>
    <tableColumn id="10" name="Friends/family don't cycle" totalsRowFunction="sum" dataDxfId="431" totalsRowDxfId="430"/>
    <tableColumn id="11" name="Lack of cycle hire" totalsRowFunction="custom" dataDxfId="429" totalsRowDxfId="428">
      <totalsRowFormula>SUBTOTAL(109,Table2457910111863[Care responsibilities])</totalsRowFormula>
    </tableColumn>
    <tableColumn id="12" name="Lack of cycle parking" totalsRowFunction="custom" dataDxfId="427" totalsRowDxfId="426">
      <totalsRowFormula>SUBTOTAL(109,Table2457910111863[Costs])</totalsRowFormula>
    </tableColumn>
    <tableColumn id="13" name="Need car for work" totalsRowFunction="custom" dataDxfId="425" totalsRowDxfId="424">
      <totalsRowFormula>SUBTOTAL(109,Table2457910111863[Disability])</totalsRowFormula>
    </tableColumn>
    <tableColumn id="14" name="Not confident" totalsRowFunction="custom" dataDxfId="423" totalsRowDxfId="422">
      <totalsRowFormula>SUBTOTAL(109,Table2457910111863[Distance/effort])</totalsRowFormula>
    </tableColumn>
    <tableColumn id="15" name="Personal safety" totalsRowFunction="custom" dataDxfId="421" totalsRowDxfId="420">
      <totalsRowFormula>SUBTOTAL(109,Table2457910111863[Don''t own bike])</totalsRowFormula>
    </tableColumn>
    <tableColumn id="17" name="Poor cycle routes" totalsRowFunction="custom" dataDxfId="419" totalsRowDxfId="418">
      <totalsRowFormula>SUBTOTAL(109,Table2457910111863[Don''t want to])</totalsRowFormula>
    </tableColumn>
    <tableColumn id="18" name="Road safety/traffic" totalsRowFunction="custom" dataDxfId="417" totalsRowDxfId="416">
      <totalsRowFormula>SUBTOTAL(109,Table2457910111863[Fear of theft/vandalism])</totalsRowFormula>
    </tableColumn>
    <tableColumn id="19" name="Weather/terrain" totalsRowFunction="custom" dataDxfId="415" totalsRowDxfId="414">
      <totalsRowFormula>SUBTOTAL(109,Table2457910111863[Friends/family don''t cycle])</totalsRowFormula>
    </tableColumn>
    <tableColumn id="20" name="Work from home" totalsRowFunction="custom" dataDxfId="413" totalsRowDxfId="412">
      <totalsRowFormula>SUBTOTAL(109,Table2457910111863[Lack of cycle hire])</totalsRowFormula>
    </tableColumn>
    <tableColumn id="21" name="N/A" totalsRowFunction="custom" dataDxfId="411" totalsRowDxfId="410">
      <totalsRowFormula>SUBTOTAL(109,Table2457910111863[Lack of cycle parking])</totalsRowFormula>
    </tableColumn>
    <tableColumn id="22" name="Other (specify)" totalsRowFunction="custom" dataDxfId="409" totalsRowDxfId="408">
      <totalsRowFormula>SUBTOTAL(109,Table2457910111863[Need car for work])</totalsRowFormula>
    </tableColumn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63" name="Table245791011121964" displayName="Table245791011121964" ref="B101:W105" totalsRowCount="1" headerRowDxfId="407" headerRowBorderDxfId="406" tableBorderDxfId="405" totalsRowBorderDxfId="404">
  <autoFilter ref="B101:W104"/>
  <tableColumns count="22">
    <tableColumn id="1" name="-" totalsRowLabel="Total" dataDxfId="403" totalsRowDxfId="402"/>
    <tableColumn id="16" name="RESPONSES" totalsRowFunction="sum" dataDxfId="401" totalsRowDxfId="400"/>
    <tableColumn id="2" name="Air quality" totalsRowFunction="sum" dataDxfId="399" totalsRowDxfId="398"/>
    <tableColumn id="3" name="Care responsibilities" totalsRowFunction="sum" dataDxfId="397" totalsRowDxfId="396"/>
    <tableColumn id="4" name="Costs" totalsRowFunction="sum" dataDxfId="395" totalsRowDxfId="394"/>
    <tableColumn id="5" name="Disability" totalsRowFunction="sum" dataDxfId="393" totalsRowDxfId="392"/>
    <tableColumn id="6" name="Distance/effort" totalsRowFunction="sum" dataDxfId="391" totalsRowDxfId="390"/>
    <tableColumn id="7" name="Don't own bike" totalsRowFunction="sum" dataDxfId="389" totalsRowDxfId="388"/>
    <tableColumn id="8" name="Don't want to" totalsRowFunction="sum" dataDxfId="387" totalsRowDxfId="386"/>
    <tableColumn id="9" name="Fear of theft/vandalism" totalsRowFunction="sum" dataDxfId="385" totalsRowDxfId="384"/>
    <tableColumn id="10" name="Friends/family don't cycle" totalsRowFunction="sum" dataDxfId="383" totalsRowDxfId="382"/>
    <tableColumn id="11" name="Lack of cycle hire" totalsRowFunction="custom" dataDxfId="381" totalsRowDxfId="380">
      <totalsRowFormula>SUBTOTAL(109,Table245791011121964[Care responsibilities])</totalsRowFormula>
    </tableColumn>
    <tableColumn id="12" name="Lack of cycle parking" totalsRowFunction="custom" dataDxfId="379" totalsRowDxfId="378">
      <totalsRowFormula>SUBTOTAL(109,Table245791011121964[Costs])</totalsRowFormula>
    </tableColumn>
    <tableColumn id="13" name="Need car for work" totalsRowFunction="custom" dataDxfId="377" totalsRowDxfId="376">
      <totalsRowFormula>SUBTOTAL(109,Table245791011121964[Disability])</totalsRowFormula>
    </tableColumn>
    <tableColumn id="14" name="Not confident" totalsRowFunction="custom" dataDxfId="375" totalsRowDxfId="374">
      <totalsRowFormula>SUBTOTAL(109,Table245791011121964[Distance/effort])</totalsRowFormula>
    </tableColumn>
    <tableColumn id="15" name="Personal safety" totalsRowFunction="custom" dataDxfId="373" totalsRowDxfId="372">
      <totalsRowFormula>SUBTOTAL(109,Table245791011121964[Don''t own bike])</totalsRowFormula>
    </tableColumn>
    <tableColumn id="17" name="Poor cycle routes" totalsRowFunction="custom" dataDxfId="371" totalsRowDxfId="370">
      <totalsRowFormula>SUBTOTAL(109,Table245791011121964[Don''t want to])</totalsRowFormula>
    </tableColumn>
    <tableColumn id="18" name="Road safety/traffic" totalsRowFunction="custom" dataDxfId="369" totalsRowDxfId="368">
      <totalsRowFormula>SUBTOTAL(109,Table245791011121964[Fear of theft/vandalism])</totalsRowFormula>
    </tableColumn>
    <tableColumn id="19" name="Weather/terrain" totalsRowFunction="custom" dataDxfId="367" totalsRowDxfId="366">
      <totalsRowFormula>SUBTOTAL(109,Table245791011121964[Friends/family don''t cycle])</totalsRowFormula>
    </tableColumn>
    <tableColumn id="20" name="Work from home" totalsRowFunction="custom" dataDxfId="365" totalsRowDxfId="364">
      <totalsRowFormula>SUBTOTAL(109,Table245791011121964[Lack of cycle hire])</totalsRowFormula>
    </tableColumn>
    <tableColumn id="21" name="N/A" totalsRowFunction="custom" dataDxfId="363" totalsRowDxfId="362">
      <totalsRowFormula>SUBTOTAL(109,Table245791011121964[Lack of cycle parking])</totalsRowFormula>
    </tableColumn>
    <tableColumn id="22" name="Other (specify)" totalsRowFunction="custom" dataDxfId="361" totalsRowDxfId="360">
      <totalsRowFormula>SUBTOTAL(109,Table245791011121964[Need car for work])</totalsRow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7" name="Table28" displayName="Table28" ref="B7:Q11" totalsRowCount="1" headerRowDxfId="1115" headerRowBorderDxfId="1114" tableBorderDxfId="1113" totalsRowBorderDxfId="1112">
  <autoFilter ref="B7:Q10"/>
  <tableColumns count="16">
    <tableColumn id="1" name="-" totalsRowLabel="Total" dataDxfId="1111" totalsRowDxfId="1110"/>
    <tableColumn id="16" name="RESPONSES" totalsRowFunction="sum" dataDxfId="1109" totalsRowDxfId="1108"/>
    <tableColumn id="2" name="Air quality" totalsRowFunction="sum" dataDxfId="1107" totalsRowDxfId="1106"/>
    <tableColumn id="17" name="Care responsibilities" totalsRowFunction="sum" dataDxfId="1105" totalsRowDxfId="1104"/>
    <tableColumn id="3" name="Disability" totalsRowFunction="sum" dataDxfId="1103" totalsRowDxfId="1102"/>
    <tableColumn id="4" name="Distance/Effort" totalsRowFunction="sum" dataDxfId="1101" totalsRowDxfId="1100"/>
    <tableColumn id="5" name="Don't want to" totalsRowFunction="sum" dataDxfId="1099" totalsRowDxfId="1098"/>
    <tableColumn id="6" name="Need car for work" totalsRowFunction="sum" dataDxfId="1097" totalsRowDxfId="1096"/>
    <tableColumn id="7" name="Not confident" totalsRowFunction="sum" dataDxfId="1095" totalsRowDxfId="1094"/>
    <tableColumn id="8" name="Personal safety" totalsRowFunction="sum" dataDxfId="1093" totalsRowDxfId="1092"/>
    <tableColumn id="9" name="Poor walking routes" totalsRowFunction="sum" dataDxfId="1091" totalsRowDxfId="1090"/>
    <tableColumn id="11" name="Road Safety/Traffic" totalsRowFunction="sum" dataDxfId="1089" totalsRowDxfId="1088"/>
    <tableColumn id="13" name="Weather/Terrain" totalsRowFunction="sum" dataDxfId="1087" totalsRowDxfId="1086"/>
    <tableColumn id="18" name="Work from home" totalsRowFunction="sum" dataDxfId="1085" totalsRowDxfId="1084"/>
    <tableColumn id="14" name="N/A" totalsRowFunction="sum" dataDxfId="1083" totalsRowDxfId="1082"/>
    <tableColumn id="15" name="Other (specify)" totalsRowFunction="sum" dataDxfId="1081" totalsRowDxfId="1080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73" name="Table2822074" displayName="Table2822074" ref="B7:S11" totalsRowCount="1" headerRowDxfId="359" headerRowBorderDxfId="358" tableBorderDxfId="357" totalsRowBorderDxfId="356">
  <autoFilter ref="B7:S10"/>
  <tableColumns count="18">
    <tableColumn id="1" name="-" totalsRowLabel="Total" dataDxfId="355" totalsRowDxfId="354"/>
    <tableColumn id="16" name="RESPONSES" totalsRowFunction="sum" dataDxfId="353" totalsRowDxfId="352"/>
    <tableColumn id="17" name="Care responsibilities" totalsRowFunction="sum" dataDxfId="351" totalsRowDxfId="350"/>
    <tableColumn id="2" name="Cost" totalsRowFunction="sum" dataDxfId="349" totalsRowDxfId="348"/>
    <tableColumn id="18" name="Covid-19" totalsRowFunction="sum" dataDxfId="347" totalsRowDxfId="346"/>
    <tableColumn id="3" name="Disability" totalsRowFunction="sum" dataDxfId="345" totalsRowDxfId="344"/>
    <tableColumn id="4" name="Don’t Want To" totalsRowFunction="sum" dataDxfId="343" totalsRowDxfId="342"/>
    <tableColumn id="5" name="Infrequent/unreliable" totalsRowFunction="sum" dataDxfId="341" totalsRowDxfId="340"/>
    <tableColumn id="19" name="Limited operating hours" totalsRowFunction="sum" dataDxfId="339" totalsRowDxfId="338"/>
    <tableColumn id="6" name="Need car for work" totalsRowFunction="sum" dataDxfId="337" totalsRowDxfId="336"/>
    <tableColumn id="8" name="Personal safety" totalsRowFunction="sum" dataDxfId="335" totalsRowDxfId="334"/>
    <tableColumn id="9" name="Road safety/traffic" totalsRowFunction="sum" dataDxfId="333" totalsRowDxfId="332"/>
    <tableColumn id="11" name="Too far/indirect" totalsRowFunction="sum" dataDxfId="331" totalsRowDxfId="330"/>
    <tableColumn id="12" name="Too busy" totalsRowFunction="sum" dataDxfId="329" totalsRowDxfId="328"/>
    <tableColumn id="13" name="Travel time" totalsRowFunction="sum" dataDxfId="327" totalsRowDxfId="326"/>
    <tableColumn id="20" name="Work from home" totalsRowFunction="sum" dataDxfId="325" totalsRowDxfId="324"/>
    <tableColumn id="14" name="N/A" totalsRowFunction="sum" dataDxfId="323" totalsRowDxfId="322"/>
    <tableColumn id="15" name="Other (specify)" totalsRowFunction="sum" dataDxfId="321" totalsRowDxfId="320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74" name="Table24132175" displayName="Table24132175" ref="B15:S19" totalsRowCount="1" headerRowDxfId="319" headerRowBorderDxfId="318" tableBorderDxfId="317" totalsRowBorderDxfId="316">
  <autoFilter ref="B15:S18"/>
  <tableColumns count="18">
    <tableColumn id="1" name="-" totalsRowLabel="Total" dataDxfId="315" totalsRowDxfId="314"/>
    <tableColumn id="16" name="RESPONSES" totalsRowFunction="sum" dataDxfId="313" totalsRowDxfId="312"/>
    <tableColumn id="2" name="Care responsibilities" totalsRowFunction="sum" dataDxfId="311" totalsRowDxfId="310"/>
    <tableColumn id="3" name="Cost" totalsRowFunction="sum" dataDxfId="309" totalsRowDxfId="308"/>
    <tableColumn id="4" name="Covid-19" totalsRowFunction="sum" dataDxfId="307" totalsRowDxfId="306"/>
    <tableColumn id="5" name="Disability" totalsRowFunction="sum" dataDxfId="305" totalsRowDxfId="304"/>
    <tableColumn id="6" name="Don’t Want To" totalsRowFunction="sum" dataDxfId="303" totalsRowDxfId="302"/>
    <tableColumn id="7" name="Infrequent/unreliable" totalsRowFunction="sum" dataDxfId="301" totalsRowDxfId="300"/>
    <tableColumn id="8" name="Limited operating hours" totalsRowFunction="sum" dataDxfId="299" totalsRowDxfId="298"/>
    <tableColumn id="9" name="Need car for work" totalsRowFunction="sum" dataDxfId="297" totalsRowDxfId="296"/>
    <tableColumn id="10" name="Personal safety" totalsRowFunction="sum" dataDxfId="295" totalsRowDxfId="294"/>
    <tableColumn id="11" name="Road safety/traffic" totalsRowFunction="custom" dataDxfId="293" totalsRowDxfId="292">
      <totalsRowFormula>SUBTOTAL(109,Table24132175[Cost])</totalsRowFormula>
    </tableColumn>
    <tableColumn id="12" name="Too far/indirect" totalsRowFunction="custom" dataDxfId="291" totalsRowDxfId="290">
      <totalsRowFormula>SUBTOTAL(109,Table24132175[Covid-19])</totalsRowFormula>
    </tableColumn>
    <tableColumn id="13" name="Too busy" totalsRowFunction="custom" dataDxfId="289" totalsRowDxfId="288">
      <totalsRowFormula>SUBTOTAL(109,Table24132175[Disability])</totalsRowFormula>
    </tableColumn>
    <tableColumn id="14" name="Travel time" totalsRowFunction="custom" dataDxfId="287" totalsRowDxfId="286">
      <totalsRowFormula>SUBTOTAL(109,Table24132175[Don’t Want To])</totalsRowFormula>
    </tableColumn>
    <tableColumn id="15" name="Work from home" totalsRowFunction="custom" dataDxfId="285" totalsRowDxfId="284">
      <totalsRowFormula>SUBTOTAL(109,Table24132175[Infrequent/unreliable])</totalsRowFormula>
    </tableColumn>
    <tableColumn id="17" name="N/A" totalsRowFunction="custom" dataDxfId="283" totalsRowDxfId="282">
      <totalsRowFormula>SUBTOTAL(109,Table24132175[Limited operating hours])</totalsRowFormula>
    </tableColumn>
    <tableColumn id="18" name="Other (specify)" totalsRowFunction="custom" dataDxfId="281" totalsRowDxfId="280">
      <totalsRowFormula>SUBTOTAL(109,Table24132175[Need car for work])</totalsRowFormula>
    </tableColumn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75" name="Table245142276" displayName="Table245142276" ref="B23:S33" totalsRowCount="1" headerRowDxfId="279" headerRowBorderDxfId="278" tableBorderDxfId="277" totalsRowBorderDxfId="276">
  <autoFilter ref="B23:S32"/>
  <tableColumns count="18">
    <tableColumn id="1" name="-" totalsRowLabel="Total" dataDxfId="275" totalsRowDxfId="274"/>
    <tableColumn id="16" name="RESPONSES" totalsRowFunction="sum" dataDxfId="273" totalsRowDxfId="272"/>
    <tableColumn id="2" name="Care responsibilities" totalsRowFunction="sum" dataDxfId="271" totalsRowDxfId="270"/>
    <tableColumn id="3" name="Cost" totalsRowFunction="sum" dataDxfId="269" totalsRowDxfId="268"/>
    <tableColumn id="4" name="Covid-19" totalsRowFunction="sum" dataDxfId="267" totalsRowDxfId="266"/>
    <tableColumn id="5" name="Disability" totalsRowFunction="sum" dataDxfId="265" totalsRowDxfId="264"/>
    <tableColumn id="6" name="Don’t Want To" totalsRowFunction="sum" dataDxfId="263" totalsRowDxfId="262"/>
    <tableColumn id="7" name="Infrequent/unreliable" totalsRowFunction="sum" dataDxfId="261" totalsRowDxfId="260"/>
    <tableColumn id="8" name="Limited operating hours" totalsRowFunction="sum" dataDxfId="259" totalsRowDxfId="258"/>
    <tableColumn id="9" name="Need car for work" totalsRowFunction="sum" dataDxfId="257" totalsRowDxfId="256"/>
    <tableColumn id="10" name="Personal safety" totalsRowFunction="sum" dataDxfId="255" totalsRowDxfId="254"/>
    <tableColumn id="11" name="Road safety/traffic" totalsRowFunction="custom" dataDxfId="253" totalsRowDxfId="252">
      <totalsRowFormula>SUBTOTAL(109,Table245142276[Cost])</totalsRowFormula>
    </tableColumn>
    <tableColumn id="12" name="Too far/indirect" totalsRowFunction="custom" dataDxfId="251" totalsRowDxfId="250">
      <totalsRowFormula>SUBTOTAL(109,Table245142276[Covid-19])</totalsRowFormula>
    </tableColumn>
    <tableColumn id="13" name="Too busy" totalsRowFunction="custom" dataDxfId="249" totalsRowDxfId="248">
      <totalsRowFormula>SUBTOTAL(109,Table245142276[Disability])</totalsRowFormula>
    </tableColumn>
    <tableColumn id="14" name="Travel time" totalsRowFunction="custom" dataDxfId="247" totalsRowDxfId="246">
      <totalsRowFormula>SUBTOTAL(109,Table245142276[Don’t Want To])</totalsRowFormula>
    </tableColumn>
    <tableColumn id="15" name="Work from home" totalsRowFunction="custom" dataDxfId="245" totalsRowDxfId="244">
      <totalsRowFormula>SUBTOTAL(109,Table245142276[Infrequent/unreliable])</totalsRowFormula>
    </tableColumn>
    <tableColumn id="17" name="N/A" totalsRowFunction="custom" dataDxfId="243" totalsRowDxfId="242">
      <totalsRowFormula>SUBTOTAL(109,Table245142276[Limited operating hours])</totalsRowFormula>
    </tableColumn>
    <tableColumn id="18" name="Other (specify)" totalsRowFunction="custom" dataDxfId="241" totalsRowDxfId="240">
      <totalsRowFormula>SUBTOTAL(109,Table245142276[Need car for work])</totalsRowFormula>
    </tableColumn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76" name="Table2456232477" displayName="Table2456232477" ref="B37:S57" totalsRowCount="1" headerRowDxfId="239" headerRowBorderDxfId="238" tableBorderDxfId="237" totalsRowBorderDxfId="236">
  <autoFilter ref="B37:S56"/>
  <tableColumns count="18">
    <tableColumn id="1" name="-" totalsRowLabel="Total" dataDxfId="235" totalsRowDxfId="234"/>
    <tableColumn id="16" name="RESPONSES" totalsRowFunction="sum" dataDxfId="233" totalsRowDxfId="232"/>
    <tableColumn id="2" name="Care responsibilities" totalsRowFunction="sum" dataDxfId="231" totalsRowDxfId="230"/>
    <tableColumn id="3" name="Cost" totalsRowFunction="sum" dataDxfId="229" totalsRowDxfId="228"/>
    <tableColumn id="4" name="Covid-19" totalsRowFunction="sum" dataDxfId="227" totalsRowDxfId="226"/>
    <tableColumn id="5" name="Disability" totalsRowFunction="sum" dataDxfId="225" totalsRowDxfId="224"/>
    <tableColumn id="6" name="Don’t Want To" totalsRowFunction="sum" dataDxfId="223" totalsRowDxfId="222"/>
    <tableColumn id="7" name="Infrequent/unreliable" totalsRowFunction="sum" dataDxfId="221" totalsRowDxfId="220"/>
    <tableColumn id="8" name="Limited operating hours" totalsRowFunction="sum" dataDxfId="219" totalsRowDxfId="218"/>
    <tableColumn id="9" name="Need car for work" totalsRowFunction="sum" dataDxfId="217" totalsRowDxfId="216"/>
    <tableColumn id="10" name="Personal safety" totalsRowFunction="sum" dataDxfId="215" totalsRowDxfId="214"/>
    <tableColumn id="11" name="Road safety/traffic" totalsRowFunction="sum" dataDxfId="213" totalsRowDxfId="212"/>
    <tableColumn id="12" name="Too far/indirect" totalsRowFunction="sum" dataDxfId="211" totalsRowDxfId="210"/>
    <tableColumn id="13" name="Too busy" totalsRowFunction="sum" dataDxfId="209" totalsRowDxfId="208"/>
    <tableColumn id="14" name="Travel time" totalsRowFunction="sum" dataDxfId="207" totalsRowDxfId="206"/>
    <tableColumn id="15" name="Work from home" totalsRowFunction="sum" dataDxfId="205" totalsRowDxfId="204"/>
    <tableColumn id="17" name="N/A" totalsRowFunction="sum" dataDxfId="203" totalsRowDxfId="202"/>
    <tableColumn id="18" name="Other (specify)" totalsRowFunction="sum" dataDxfId="201" totalsRowDxfId="200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77" name="Table2457152578" displayName="Table2457152578" ref="B61:S65" totalsRowCount="1" headerRowDxfId="199" headerRowBorderDxfId="198" tableBorderDxfId="197" totalsRowBorderDxfId="196">
  <autoFilter ref="B61:S64"/>
  <tableColumns count="18">
    <tableColumn id="1" name="-" totalsRowLabel="Total" dataDxfId="195" totalsRowDxfId="194"/>
    <tableColumn id="16" name="RESPONSES" totalsRowFunction="sum" dataDxfId="193" totalsRowDxfId="192"/>
    <tableColumn id="2" name="Care responsibilities" totalsRowFunction="sum" dataDxfId="191" totalsRowDxfId="190"/>
    <tableColumn id="3" name="Cost" totalsRowFunction="sum" dataDxfId="189" totalsRowDxfId="188"/>
    <tableColumn id="4" name="Covid-19" totalsRowFunction="sum" dataDxfId="187" totalsRowDxfId="186"/>
    <tableColumn id="5" name="Disability" totalsRowFunction="sum" dataDxfId="185" totalsRowDxfId="184"/>
    <tableColumn id="6" name="Don’t Want To" totalsRowFunction="sum" dataDxfId="183" totalsRowDxfId="182"/>
    <tableColumn id="7" name="Infrequent/unreliable" totalsRowFunction="sum" dataDxfId="181" totalsRowDxfId="180"/>
    <tableColumn id="8" name="Limited operating hours" totalsRowFunction="sum" dataDxfId="179" totalsRowDxfId="178"/>
    <tableColumn id="9" name="Need car for work" totalsRowFunction="sum" dataDxfId="177" totalsRowDxfId="176"/>
    <tableColumn id="10" name="Personal safety" totalsRowFunction="sum" dataDxfId="175" totalsRowDxfId="174"/>
    <tableColumn id="11" name="Road safety/traffic" totalsRowFunction="custom" dataDxfId="173" totalsRowDxfId="172">
      <totalsRowFormula>SUBTOTAL(109,Table2457152578[Cost])</totalsRowFormula>
    </tableColumn>
    <tableColumn id="12" name="Too far/indirect" totalsRowFunction="custom" dataDxfId="171" totalsRowDxfId="170">
      <totalsRowFormula>SUBTOTAL(109,Table2457152578[Covid-19])</totalsRowFormula>
    </tableColumn>
    <tableColumn id="13" name="Too busy" totalsRowFunction="custom" dataDxfId="169" totalsRowDxfId="168">
      <totalsRowFormula>SUBTOTAL(109,Table2457152578[Disability])</totalsRowFormula>
    </tableColumn>
    <tableColumn id="14" name="Travel time" totalsRowFunction="custom" dataDxfId="167" totalsRowDxfId="166">
      <totalsRowFormula>SUBTOTAL(109,Table2457152578[Don’t Want To])</totalsRowFormula>
    </tableColumn>
    <tableColumn id="15" name="Work from home" totalsRowFunction="custom" dataDxfId="165" totalsRowDxfId="164">
      <totalsRowFormula>SUBTOTAL(109,Table2457152578[Infrequent/unreliable])</totalsRowFormula>
    </tableColumn>
    <tableColumn id="17" name="N/A" totalsRowFunction="custom" dataDxfId="163" totalsRowDxfId="162">
      <totalsRowFormula>SUBTOTAL(109,Table2457152578[Limited operating hours])</totalsRowFormula>
    </tableColumn>
    <tableColumn id="18" name="Other (specify)" totalsRowFunction="custom" dataDxfId="161" totalsRowDxfId="160">
      <totalsRowFormula>SUBTOTAL(109,Table2457152578[Need car for work])</totalsRowFormula>
    </tableColumn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78" name="Table24579162679" displayName="Table24579162679" ref="B69:S73" totalsRowCount="1" headerRowDxfId="159" headerRowBorderDxfId="158" tableBorderDxfId="157" totalsRowBorderDxfId="156">
  <autoFilter ref="B69:S72"/>
  <tableColumns count="18">
    <tableColumn id="1" name="-" totalsRowLabel="Total" dataDxfId="155" totalsRowDxfId="154"/>
    <tableColumn id="16" name="RESPONSES" totalsRowFunction="sum" dataDxfId="153" totalsRowDxfId="152"/>
    <tableColumn id="2" name="Care responsibilities" totalsRowFunction="sum" dataDxfId="151" totalsRowDxfId="150"/>
    <tableColumn id="3" name="Cost" totalsRowFunction="sum" dataDxfId="149" totalsRowDxfId="148"/>
    <tableColumn id="4" name="Covid-19" totalsRowFunction="sum" dataDxfId="147" totalsRowDxfId="146"/>
    <tableColumn id="5" name="Disability" totalsRowFunction="sum" dataDxfId="145" totalsRowDxfId="144"/>
    <tableColumn id="6" name="Don’t Want To" totalsRowFunction="sum" dataDxfId="143" totalsRowDxfId="142"/>
    <tableColumn id="7" name="Infrequent/unreliable" totalsRowFunction="sum" dataDxfId="141" totalsRowDxfId="140"/>
    <tableColumn id="8" name="Limited operating hours" totalsRowFunction="sum" dataDxfId="139" totalsRowDxfId="138"/>
    <tableColumn id="9" name="Need car for work" totalsRowFunction="sum" dataDxfId="137" totalsRowDxfId="136"/>
    <tableColumn id="10" name="Personal safety" totalsRowFunction="sum" dataDxfId="135" totalsRowDxfId="134"/>
    <tableColumn id="11" name="Road safety/traffic" totalsRowFunction="custom" dataDxfId="133" totalsRowDxfId="132">
      <totalsRowFormula>SUBTOTAL(109,Table24579162679[Cost])</totalsRowFormula>
    </tableColumn>
    <tableColumn id="12" name="Too far/indirect" totalsRowFunction="custom" dataDxfId="131" totalsRowDxfId="130">
      <totalsRowFormula>SUBTOTAL(109,Table24579162679[Covid-19])</totalsRowFormula>
    </tableColumn>
    <tableColumn id="13" name="Too busy" totalsRowFunction="custom" dataDxfId="129" totalsRowDxfId="128">
      <totalsRowFormula>SUBTOTAL(109,Table24579162679[Disability])</totalsRowFormula>
    </tableColumn>
    <tableColumn id="14" name="Travel time" totalsRowFunction="custom" dataDxfId="127" totalsRowDxfId="126">
      <totalsRowFormula>SUBTOTAL(109,Table24579162679[Don’t Want To])</totalsRowFormula>
    </tableColumn>
    <tableColumn id="15" name="Work from home" totalsRowFunction="custom" dataDxfId="125" totalsRowDxfId="124">
      <totalsRowFormula>SUBTOTAL(109,Table24579162679[Infrequent/unreliable])</totalsRowFormula>
    </tableColumn>
    <tableColumn id="17" name="N/A" totalsRowFunction="custom" dataDxfId="123" totalsRowDxfId="122">
      <totalsRowFormula>SUBTOTAL(109,Table24579162679[Limited operating hours])</totalsRowFormula>
    </tableColumn>
    <tableColumn id="18" name="Other (specify)" totalsRowFunction="custom" dataDxfId="121" totalsRowDxfId="120">
      <totalsRowFormula>SUBTOTAL(109,Table24579162679[Need car for work])</totalsRowFormula>
    </tableColumn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79" name="Table2457910172780" displayName="Table2457910172780" ref="B77:S83" totalsRowCount="1" headerRowDxfId="119" headerRowBorderDxfId="118" tableBorderDxfId="117" totalsRowBorderDxfId="116">
  <autoFilter ref="B77:S82"/>
  <tableColumns count="18">
    <tableColumn id="1" name="-" totalsRowLabel="Total" dataDxfId="115" totalsRowDxfId="114"/>
    <tableColumn id="16" name="RESPONSES" totalsRowFunction="sum" dataDxfId="113" totalsRowDxfId="112"/>
    <tableColumn id="2" name="Care responsibilities" totalsRowFunction="sum" dataDxfId="111" totalsRowDxfId="110"/>
    <tableColumn id="3" name="Cost" totalsRowFunction="sum" dataDxfId="109" totalsRowDxfId="108"/>
    <tableColumn id="4" name="Covid-19" totalsRowFunction="sum" dataDxfId="107" totalsRowDxfId="106"/>
    <tableColumn id="5" name="Disability" totalsRowFunction="sum" dataDxfId="105" totalsRowDxfId="104"/>
    <tableColumn id="6" name="Don’t Want To" totalsRowFunction="sum" dataDxfId="103" totalsRowDxfId="102"/>
    <tableColumn id="7" name="Infrequent/unreliable" totalsRowFunction="sum" dataDxfId="101" totalsRowDxfId="100"/>
    <tableColumn id="8" name="Limited operating hours" totalsRowFunction="sum" dataDxfId="99" totalsRowDxfId="98"/>
    <tableColumn id="9" name="Need car for work" totalsRowFunction="sum" dataDxfId="97" totalsRowDxfId="96"/>
    <tableColumn id="10" name="Personal safety" totalsRowFunction="sum" dataDxfId="95" totalsRowDxfId="94"/>
    <tableColumn id="11" name="Road safety/traffic" totalsRowFunction="custom" dataDxfId="93" totalsRowDxfId="92">
      <totalsRowFormula>SUBTOTAL(109,Table2457910172780[Cost])</totalsRowFormula>
    </tableColumn>
    <tableColumn id="12" name="Too far/indirect" totalsRowFunction="custom" dataDxfId="91" totalsRowDxfId="90">
      <totalsRowFormula>SUBTOTAL(109,Table2457910172780[Covid-19])</totalsRowFormula>
    </tableColumn>
    <tableColumn id="13" name="Too busy" totalsRowFunction="custom" dataDxfId="89" totalsRowDxfId="88">
      <totalsRowFormula>SUBTOTAL(109,Table2457910172780[Disability])</totalsRowFormula>
    </tableColumn>
    <tableColumn id="14" name="Travel time" totalsRowFunction="custom" dataDxfId="87" totalsRowDxfId="86">
      <totalsRowFormula>SUBTOTAL(109,Table2457910172780[Don’t Want To])</totalsRowFormula>
    </tableColumn>
    <tableColumn id="15" name="Work from home" totalsRowFunction="custom" dataDxfId="85" totalsRowDxfId="84">
      <totalsRowFormula>SUBTOTAL(109,Table2457910172780[Infrequent/unreliable])</totalsRowFormula>
    </tableColumn>
    <tableColumn id="17" name="N/A" totalsRowFunction="custom" dataDxfId="83" totalsRowDxfId="82">
      <totalsRowFormula>SUBTOTAL(109,Table2457910172780[Limited operating hours])</totalsRowFormula>
    </tableColumn>
    <tableColumn id="18" name="Other (specify)" totalsRowFunction="custom" dataDxfId="81" totalsRowDxfId="80">
      <totalsRowFormula>SUBTOTAL(109,Table2457910172780[Need car for work])</totalsRowFormula>
    </tableColumn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80" name="Table245791011182881" displayName="Table245791011182881" ref="B87:S97" totalsRowCount="1" headerRowDxfId="79" headerRowBorderDxfId="78" tableBorderDxfId="77" totalsRowBorderDxfId="76">
  <autoFilter ref="B87:S96"/>
  <tableColumns count="18">
    <tableColumn id="1" name="-" totalsRowLabel="Total" dataDxfId="75" totalsRowDxfId="74"/>
    <tableColumn id="16" name="RESPONSES" totalsRowFunction="sum" dataDxfId="73" totalsRowDxfId="72"/>
    <tableColumn id="2" name="Care responsibilities" totalsRowFunction="sum" dataDxfId="71" totalsRowDxfId="70"/>
    <tableColumn id="3" name="Cost" totalsRowFunction="sum" dataDxfId="69" totalsRowDxfId="68"/>
    <tableColumn id="4" name="Covid-19" totalsRowFunction="sum" dataDxfId="67" totalsRowDxfId="66"/>
    <tableColumn id="5" name="Disability" totalsRowFunction="sum" dataDxfId="65" totalsRowDxfId="64"/>
    <tableColumn id="6" name="Don’t Want To" totalsRowFunction="sum" dataDxfId="63" totalsRowDxfId="62"/>
    <tableColumn id="7" name="Infrequent/unreliable" totalsRowFunction="sum" dataDxfId="61" totalsRowDxfId="60"/>
    <tableColumn id="8" name="Limited operating hours" totalsRowFunction="sum" dataDxfId="59" totalsRowDxfId="58"/>
    <tableColumn id="9" name="Need car for work" totalsRowFunction="sum" dataDxfId="57" totalsRowDxfId="56"/>
    <tableColumn id="10" name="Personal safety" totalsRowFunction="sum" dataDxfId="55" totalsRowDxfId="54"/>
    <tableColumn id="11" name="Road safety/traffic" totalsRowFunction="custom" dataDxfId="53" totalsRowDxfId="52">
      <totalsRowFormula>SUBTOTAL(109,Table245791011182881[Cost])</totalsRowFormula>
    </tableColumn>
    <tableColumn id="12" name="Too far/indirect" totalsRowFunction="custom" dataDxfId="51" totalsRowDxfId="50">
      <totalsRowFormula>SUBTOTAL(109,Table245791011182881[Covid-19])</totalsRowFormula>
    </tableColumn>
    <tableColumn id="13" name="Too busy" totalsRowFunction="custom" dataDxfId="49" totalsRowDxfId="48">
      <totalsRowFormula>SUBTOTAL(109,Table245791011182881[Disability])</totalsRowFormula>
    </tableColumn>
    <tableColumn id="14" name="Travel time" totalsRowFunction="custom" dataDxfId="47" totalsRowDxfId="46">
      <totalsRowFormula>SUBTOTAL(109,Table245791011182881[Don’t Want To])</totalsRowFormula>
    </tableColumn>
    <tableColumn id="15" name="Work from home" totalsRowFunction="custom" dataDxfId="45" totalsRowDxfId="44">
      <totalsRowFormula>SUBTOTAL(109,Table245791011182881[Infrequent/unreliable])</totalsRowFormula>
    </tableColumn>
    <tableColumn id="17" name="N/A" totalsRowFunction="custom" dataDxfId="43" totalsRowDxfId="42">
      <totalsRowFormula>SUBTOTAL(109,Table245791011182881[Limited operating hours])</totalsRowFormula>
    </tableColumn>
    <tableColumn id="18" name="Other (specify)" totalsRowFunction="custom" dataDxfId="41" totalsRowDxfId="40">
      <totalsRowFormula>SUBTOTAL(109,Table245791011182881[Need car for work])</totalsRowFormula>
    </tableColumn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81" name="Table24579101112192982" displayName="Table24579101112192982" ref="B101:S105" totalsRowCount="1" headerRowDxfId="39" headerRowBorderDxfId="38" tableBorderDxfId="37" totalsRowBorderDxfId="36">
  <autoFilter ref="B101:S104"/>
  <tableColumns count="18">
    <tableColumn id="1" name="-" totalsRowLabel="Total" dataDxfId="35" totalsRowDxfId="34"/>
    <tableColumn id="16" name="RESPONSES" totalsRowFunction="sum" dataDxfId="33" totalsRowDxfId="32"/>
    <tableColumn id="2" name="Care responsibilities" totalsRowFunction="sum" dataDxfId="31" totalsRowDxfId="30"/>
    <tableColumn id="3" name="Cost" totalsRowFunction="sum" dataDxfId="29" totalsRowDxfId="28"/>
    <tableColumn id="4" name="Covid-19" totalsRowFunction="sum" dataDxfId="27" totalsRowDxfId="26"/>
    <tableColumn id="5" name="Disability" totalsRowFunction="sum" dataDxfId="25" totalsRowDxfId="24"/>
    <tableColumn id="6" name="Don’t Want To" totalsRowFunction="sum" dataDxfId="23" totalsRowDxfId="22"/>
    <tableColumn id="7" name="Infrequent/unreliable" totalsRowFunction="sum" dataDxfId="21" totalsRowDxfId="20"/>
    <tableColumn id="8" name="Limited operating hours" totalsRowFunction="sum" dataDxfId="19" totalsRowDxfId="18"/>
    <tableColumn id="9" name="Need car for work" totalsRowFunction="sum" dataDxfId="17" totalsRowDxfId="16"/>
    <tableColumn id="10" name="Personal safety" totalsRowFunction="sum" dataDxfId="15" totalsRowDxfId="14"/>
    <tableColumn id="11" name="Road safety/traffic" totalsRowFunction="custom" dataDxfId="13" totalsRowDxfId="12">
      <totalsRowFormula>SUBTOTAL(109,Table24579101112192982[Cost])</totalsRowFormula>
    </tableColumn>
    <tableColumn id="12" name="Too far/indirect" totalsRowFunction="custom" dataDxfId="11" totalsRowDxfId="10">
      <totalsRowFormula>SUBTOTAL(109,Table24579101112192982[Covid-19])</totalsRowFormula>
    </tableColumn>
    <tableColumn id="13" name="Too busy" totalsRowFunction="custom" dataDxfId="9" totalsRowDxfId="8">
      <totalsRowFormula>SUBTOTAL(109,Table24579101112192982[Disability])</totalsRowFormula>
    </tableColumn>
    <tableColumn id="14" name="Travel time" totalsRowFunction="custom" dataDxfId="7" totalsRowDxfId="6">
      <totalsRowFormula>SUBTOTAL(109,Table24579101112192982[Don’t Want To])</totalsRowFormula>
    </tableColumn>
    <tableColumn id="15" name="Work from home" totalsRowFunction="custom" dataDxfId="5" totalsRowDxfId="4">
      <totalsRowFormula>SUBTOTAL(109,Table24579101112192982[Infrequent/unreliable])</totalsRowFormula>
    </tableColumn>
    <tableColumn id="17" name="N/A" totalsRowFunction="custom" dataDxfId="3" totalsRowDxfId="2">
      <totalsRowFormula>SUBTOTAL(109,Table24579101112192982[Limited operating hours])</totalsRowFormula>
    </tableColumn>
    <tableColumn id="18" name="Other (specify)" totalsRowFunction="custom" dataDxfId="1" totalsRowDxfId="0">
      <totalsRowFormula>SUBTOTAL(109,Table24579101112192982[Need car for work])</totalsRow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9" name="Table2430" displayName="Table2430" ref="B15:Q19" totalsRowCount="1" headerRowDxfId="1079" headerRowBorderDxfId="1078" tableBorderDxfId="1077" totalsRowBorderDxfId="1076">
  <autoFilter ref="B15:Q18"/>
  <tableColumns count="16">
    <tableColumn id="1" name="`" totalsRowLabel="Total" dataDxfId="1075" totalsRowDxfId="1074"/>
    <tableColumn id="16" name="RESPONSES" totalsRowFunction="sum" dataDxfId="1073" totalsRowDxfId="1072"/>
    <tableColumn id="2" name="Air quality" totalsRowFunction="sum" dataDxfId="1071" totalsRowDxfId="1070"/>
    <tableColumn id="3" name="Care responsibilities" totalsRowFunction="sum" dataDxfId="1069" totalsRowDxfId="1068"/>
    <tableColumn id="4" name="Disability" totalsRowFunction="sum" dataDxfId="1067" totalsRowDxfId="1066"/>
    <tableColumn id="5" name="Distance/Effort" totalsRowFunction="sum" dataDxfId="1065" totalsRowDxfId="1064"/>
    <tableColumn id="6" name="Don't want to" totalsRowFunction="sum" dataDxfId="1063" totalsRowDxfId="1062"/>
    <tableColumn id="7" name="Need car for work" totalsRowFunction="sum" dataDxfId="1061" totalsRowDxfId="1060"/>
    <tableColumn id="8" name="Not confident" totalsRowFunction="sum" dataDxfId="1059" totalsRowDxfId="1058"/>
    <tableColumn id="9" name="Personal safety" totalsRowFunction="sum" dataDxfId="1057" totalsRowDxfId="1056"/>
    <tableColumn id="10" name="Poor walking routes" totalsRowFunction="sum" dataDxfId="1055" totalsRowDxfId="1054"/>
    <tableColumn id="11" name="Road Safety/Traffic" totalsRowFunction="custom" dataDxfId="1053" totalsRowDxfId="1052">
      <totalsRowFormula>SUBTOTAL(109,Table2430[Care responsibilities])</totalsRowFormula>
    </tableColumn>
    <tableColumn id="12" name="Weather/Terrain" totalsRowFunction="custom" dataDxfId="1051" totalsRowDxfId="1050">
      <totalsRowFormula>SUBTOTAL(109,Table2430[Disability])</totalsRowFormula>
    </tableColumn>
    <tableColumn id="13" name="Work from home" totalsRowFunction="custom" dataDxfId="1049" totalsRowDxfId="1048">
      <totalsRowFormula>SUBTOTAL(109,Table2430[Distance/Effort])</totalsRowFormula>
    </tableColumn>
    <tableColumn id="14" name="N/A" totalsRowFunction="custom" dataDxfId="1047" totalsRowDxfId="1046">
      <totalsRowFormula>SUBTOTAL(109,Table2430[Don''t want to])</totalsRowFormula>
    </tableColumn>
    <tableColumn id="15" name="Other (specify)" totalsRowFunction="custom" dataDxfId="1045" totalsRowDxfId="1044">
      <totalsRowFormula>SUBTOTAL(109,Table2430[Need car for work])</totalsRow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30" name="Table24531" displayName="Table24531" ref="B23:Q33" totalsRowCount="1" headerRowDxfId="1043" headerRowBorderDxfId="1042" tableBorderDxfId="1041" totalsRowBorderDxfId="1040">
  <autoFilter ref="B23:Q32"/>
  <tableColumns count="16">
    <tableColumn id="1" name="-" totalsRowLabel="Total" dataDxfId="1039" totalsRowDxfId="1038"/>
    <tableColumn id="16" name="RESPONSES" totalsRowFunction="sum" dataDxfId="1037" totalsRowDxfId="1036"/>
    <tableColumn id="2" name="Air quality" totalsRowFunction="sum" dataDxfId="1035" totalsRowDxfId="1034"/>
    <tableColumn id="3" name="Care responsibilities" totalsRowFunction="sum" dataDxfId="1033" totalsRowDxfId="1032"/>
    <tableColumn id="4" name="Disability" totalsRowFunction="sum" dataDxfId="1031" totalsRowDxfId="1030"/>
    <tableColumn id="5" name="Distance/Effort" totalsRowFunction="sum" dataDxfId="1029" totalsRowDxfId="1028"/>
    <tableColumn id="6" name="Don't want to" totalsRowFunction="sum" dataDxfId="1027" totalsRowDxfId="1026"/>
    <tableColumn id="7" name="Need car for work" totalsRowFunction="sum" dataDxfId="1025" totalsRowDxfId="1024"/>
    <tableColumn id="8" name="Not confident" totalsRowFunction="sum" dataDxfId="1023" totalsRowDxfId="1022"/>
    <tableColumn id="9" name="Personal safety" totalsRowFunction="sum" dataDxfId="1021" totalsRowDxfId="1020"/>
    <tableColumn id="10" name="Poor walking routes" totalsRowFunction="sum" dataDxfId="1019" totalsRowDxfId="1018"/>
    <tableColumn id="11" name="Road Safety/Traffic" totalsRowFunction="custom" dataDxfId="1017" totalsRowDxfId="1016">
      <totalsRowFormula>SUBTOTAL(109,Table24531[Care responsibilities])</totalsRowFormula>
    </tableColumn>
    <tableColumn id="12" name="Weather/Terrain" totalsRowFunction="custom" dataDxfId="1015" totalsRowDxfId="1014">
      <totalsRowFormula>SUBTOTAL(109,Table24531[Disability])</totalsRowFormula>
    </tableColumn>
    <tableColumn id="13" name="Work from home" totalsRowFunction="custom" dataDxfId="1013" totalsRowDxfId="1012">
      <totalsRowFormula>SUBTOTAL(109,Table24531[Distance/Effort])</totalsRowFormula>
    </tableColumn>
    <tableColumn id="14" name="N/A" totalsRowFunction="custom" dataDxfId="1011" totalsRowDxfId="1010">
      <totalsRowFormula>SUBTOTAL(109,Table24531[Don''t want to])</totalsRowFormula>
    </tableColumn>
    <tableColumn id="15" name="Other (specify)" totalsRowFunction="custom" dataDxfId="1009" totalsRowDxfId="1008">
      <totalsRowFormula>SUBTOTAL(109,Table24531[Need car for work])</totalsRow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31" name="Table245632" displayName="Table245632" ref="B37:Q57" totalsRowCount="1" headerRowDxfId="1007" headerRowBorderDxfId="1006" tableBorderDxfId="1005" totalsRowBorderDxfId="1004">
  <autoFilter ref="B37:Q56"/>
  <tableColumns count="16">
    <tableColumn id="1" name="-" totalsRowLabel="Total" dataDxfId="1003" totalsRowDxfId="1002"/>
    <tableColumn id="16" name="RESPONSES" totalsRowFunction="sum" dataDxfId="1001" totalsRowDxfId="1000"/>
    <tableColumn id="2" name="Air quality" totalsRowFunction="sum" dataDxfId="999" totalsRowDxfId="998"/>
    <tableColumn id="3" name="Care responsibilities" totalsRowFunction="sum" dataDxfId="997" totalsRowDxfId="996"/>
    <tableColumn id="4" name="Disability" totalsRowFunction="sum" dataDxfId="995" totalsRowDxfId="994"/>
    <tableColumn id="5" name="Distance/Effort" totalsRowFunction="sum" dataDxfId="993" totalsRowDxfId="992"/>
    <tableColumn id="6" name="Don't want to" totalsRowFunction="sum" dataDxfId="991" totalsRowDxfId="990"/>
    <tableColumn id="7" name="Need car for work" totalsRowFunction="sum" dataDxfId="989" totalsRowDxfId="988"/>
    <tableColumn id="8" name="Not confident" totalsRowFunction="sum" dataDxfId="987" totalsRowDxfId="986"/>
    <tableColumn id="9" name="Personal safety" totalsRowFunction="sum" dataDxfId="985" totalsRowDxfId="984"/>
    <tableColumn id="10" name="Poor walking routes" totalsRowFunction="sum" dataDxfId="983" totalsRowDxfId="982"/>
    <tableColumn id="11" name="Road Safety/Traffic" totalsRowFunction="sum" dataDxfId="981" totalsRowDxfId="980"/>
    <tableColumn id="12" name="Weather/Terrain" totalsRowFunction="sum" dataDxfId="979" totalsRowDxfId="978"/>
    <tableColumn id="13" name="Work from home" totalsRowFunction="sum" dataDxfId="977" totalsRowDxfId="976"/>
    <tableColumn id="14" name="N/A" totalsRowFunction="sum" dataDxfId="975" totalsRowDxfId="974"/>
    <tableColumn id="15" name="Other (specify)" totalsRowFunction="sum" dataDxfId="973" totalsRowDxfId="97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32" name="Table245733" displayName="Table245733" ref="B61:Q65" totalsRowCount="1" headerRowDxfId="971" headerRowBorderDxfId="970" tableBorderDxfId="969" totalsRowBorderDxfId="968">
  <autoFilter ref="B61:Q64"/>
  <tableColumns count="16">
    <tableColumn id="1" name="-" totalsRowLabel="Total" dataDxfId="967" totalsRowDxfId="966"/>
    <tableColumn id="16" name="RESPONSES" totalsRowFunction="sum" dataDxfId="965" totalsRowDxfId="964"/>
    <tableColumn id="2" name="Air quality" totalsRowFunction="sum" dataDxfId="963" totalsRowDxfId="962"/>
    <tableColumn id="3" name="Care responsibilities" totalsRowFunction="sum" dataDxfId="961" totalsRowDxfId="960"/>
    <tableColumn id="4" name="Disability" totalsRowFunction="sum" dataDxfId="959" totalsRowDxfId="958"/>
    <tableColumn id="5" name="Distance/Effort" totalsRowFunction="sum" dataDxfId="957" totalsRowDxfId="956"/>
    <tableColumn id="6" name="Don't want to" totalsRowFunction="sum" dataDxfId="955" totalsRowDxfId="954"/>
    <tableColumn id="7" name="Need car for work" totalsRowFunction="sum" dataDxfId="953" totalsRowDxfId="952"/>
    <tableColumn id="8" name="Not confident" totalsRowFunction="sum" dataDxfId="951" totalsRowDxfId="950"/>
    <tableColumn id="9" name="Personal safety" totalsRowFunction="sum" dataDxfId="949" totalsRowDxfId="948"/>
    <tableColumn id="10" name="Poor walking routes" totalsRowFunction="sum" dataDxfId="947" totalsRowDxfId="946"/>
    <tableColumn id="11" name="Road Safety/Traffic" totalsRowFunction="custom" dataDxfId="945" totalsRowDxfId="944">
      <totalsRowFormula>SUBTOTAL(109,Table245733[Care responsibilities])</totalsRowFormula>
    </tableColumn>
    <tableColumn id="12" name="Weather/Terrain" totalsRowFunction="custom" dataDxfId="943" totalsRowDxfId="942">
      <totalsRowFormula>SUBTOTAL(109,Table245733[Disability])</totalsRowFormula>
    </tableColumn>
    <tableColumn id="13" name="Work from home" totalsRowFunction="custom" dataDxfId="941" totalsRowDxfId="940">
      <totalsRowFormula>SUBTOTAL(109,Table245733[Distance/Effort])</totalsRowFormula>
    </tableColumn>
    <tableColumn id="14" name="N/A" totalsRowFunction="custom" dataDxfId="939" totalsRowDxfId="938">
      <totalsRowFormula>SUBTOTAL(109,Table245733[Don''t want to])</totalsRowFormula>
    </tableColumn>
    <tableColumn id="15" name="Other (specify)" totalsRowFunction="custom" dataDxfId="937" totalsRowDxfId="936">
      <totalsRowFormula>SUBTOTAL(109,Table245733[Need car for work])</totalsRow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3" name="Table245791034" displayName="Table245791034" ref="B77:Q83" totalsRowCount="1" headerRowDxfId="935" headerRowBorderDxfId="934" tableBorderDxfId="933" totalsRowBorderDxfId="932">
  <autoFilter ref="B77:Q82"/>
  <tableColumns count="16">
    <tableColumn id="1" name="-" totalsRowLabel="Total" dataDxfId="931" totalsRowDxfId="930"/>
    <tableColumn id="16" name="RESPONSES" totalsRowFunction="sum" dataDxfId="929" totalsRowDxfId="928"/>
    <tableColumn id="2" name="Air quality" totalsRowFunction="sum" dataDxfId="927" totalsRowDxfId="926"/>
    <tableColumn id="3" name="Care responsibilities" totalsRowFunction="sum" dataDxfId="925" totalsRowDxfId="924"/>
    <tableColumn id="4" name="Disability" totalsRowFunction="sum" dataDxfId="923" totalsRowDxfId="922"/>
    <tableColumn id="5" name="Distance/Effort" totalsRowFunction="sum" dataDxfId="921" totalsRowDxfId="920"/>
    <tableColumn id="6" name="Don't want to" totalsRowFunction="sum" dataDxfId="919" totalsRowDxfId="918"/>
    <tableColumn id="7" name="Need car for work" totalsRowFunction="sum" dataDxfId="917" totalsRowDxfId="916"/>
    <tableColumn id="8" name="Not confident" totalsRowFunction="sum" dataDxfId="915" totalsRowDxfId="914"/>
    <tableColumn id="9" name="Personal safety" totalsRowFunction="sum" dataDxfId="913" totalsRowDxfId="912"/>
    <tableColumn id="10" name="Poor walking routes" totalsRowFunction="sum" dataDxfId="911" totalsRowDxfId="910"/>
    <tableColumn id="11" name="Road Safety/Traffic" totalsRowFunction="custom" dataDxfId="909" totalsRowDxfId="908">
      <totalsRowFormula>SUBTOTAL(109,Table245791034[Care responsibilities])</totalsRowFormula>
    </tableColumn>
    <tableColumn id="12" name="Weather/Terrain" totalsRowFunction="custom" dataDxfId="907" totalsRowDxfId="906">
      <totalsRowFormula>SUBTOTAL(109,Table245791034[Disability])</totalsRowFormula>
    </tableColumn>
    <tableColumn id="13" name="Work from home" totalsRowFunction="custom" dataDxfId="905" totalsRowDxfId="904">
      <totalsRowFormula>SUBTOTAL(109,Table245791034[Distance/Effort])</totalsRowFormula>
    </tableColumn>
    <tableColumn id="14" name="N/A" totalsRowFunction="custom" dataDxfId="903" totalsRowDxfId="902">
      <totalsRowFormula>SUBTOTAL(109,Table245791034[Don''t want to])</totalsRowFormula>
    </tableColumn>
    <tableColumn id="15" name="Other (specify)" totalsRowFunction="custom" dataDxfId="901" totalsRowDxfId="900">
      <totalsRowFormula>SUBTOTAL(109,Table245791034[Need car for work])</totalsRow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34" name="Table24579101135" displayName="Table24579101135" ref="B87:Q97" totalsRowCount="1" headerRowDxfId="899" headerRowBorderDxfId="898" tableBorderDxfId="897" totalsRowBorderDxfId="896">
  <autoFilter ref="B87:Q96"/>
  <tableColumns count="16">
    <tableColumn id="1" name="-" totalsRowLabel="Total" dataDxfId="895" totalsRowDxfId="894"/>
    <tableColumn id="16" name="RESPONSES" totalsRowFunction="sum" dataDxfId="893" totalsRowDxfId="892"/>
    <tableColumn id="2" name="Air quality" totalsRowFunction="sum" dataDxfId="891" totalsRowDxfId="890"/>
    <tableColumn id="3" name="Care responsibilities" totalsRowFunction="sum" dataDxfId="889" totalsRowDxfId="888"/>
    <tableColumn id="4" name="Disability" totalsRowFunction="sum" dataDxfId="887" totalsRowDxfId="886"/>
    <tableColumn id="5" name="Distance/Effort" totalsRowFunction="sum" dataDxfId="885" totalsRowDxfId="884"/>
    <tableColumn id="6" name="Don't want to" totalsRowFunction="sum" dataDxfId="883" totalsRowDxfId="882"/>
    <tableColumn id="7" name="Need car for work" totalsRowFunction="sum" dataDxfId="881" totalsRowDxfId="880"/>
    <tableColumn id="8" name="Not confident" totalsRowFunction="sum" dataDxfId="879" totalsRowDxfId="878"/>
    <tableColumn id="9" name="Personal safety" totalsRowFunction="sum" dataDxfId="877" totalsRowDxfId="876"/>
    <tableColumn id="10" name="Poor walking routes" totalsRowFunction="sum" dataDxfId="875" totalsRowDxfId="874"/>
    <tableColumn id="11" name="Road Safety/Traffic" totalsRowFunction="custom" dataDxfId="873" totalsRowDxfId="872">
      <totalsRowFormula>SUBTOTAL(109,Table24579101135[Care responsibilities])</totalsRowFormula>
    </tableColumn>
    <tableColumn id="12" name="Weather/Terrain" totalsRowFunction="custom" dataDxfId="871" totalsRowDxfId="870">
      <totalsRowFormula>SUBTOTAL(109,Table24579101135[Disability])</totalsRowFormula>
    </tableColumn>
    <tableColumn id="13" name="Work from home" totalsRowFunction="custom" dataDxfId="869" totalsRowDxfId="868">
      <totalsRowFormula>SUBTOTAL(109,Table24579101135[Distance/Effort])</totalsRowFormula>
    </tableColumn>
    <tableColumn id="14" name="N/A" totalsRowFunction="custom" dataDxfId="867" totalsRowDxfId="866">
      <totalsRowFormula>SUBTOTAL(109,Table24579101135[Don''t want to])</totalsRowFormula>
    </tableColumn>
    <tableColumn id="15" name="Other (specify)" totalsRowFunction="custom" dataDxfId="865" totalsRowDxfId="864">
      <totalsRowFormula>SUBTOTAL(109,Table24579101135[Need car for work])</totalsRow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35" name="Table2457910111236" displayName="Table2457910111236" ref="B101:Q105" totalsRowCount="1" headerRowDxfId="863" headerRowBorderDxfId="862" tableBorderDxfId="861" totalsRowBorderDxfId="860">
  <autoFilter ref="B101:Q104"/>
  <tableColumns count="16">
    <tableColumn id="1" name="-" totalsRowLabel="Total" dataDxfId="859" totalsRowDxfId="858"/>
    <tableColumn id="16" name="RESPONSES" totalsRowFunction="sum" dataDxfId="857" totalsRowDxfId="856"/>
    <tableColumn id="2" name="Air quality" totalsRowFunction="sum" dataDxfId="855" totalsRowDxfId="854"/>
    <tableColumn id="3" name="Care responsibilities" totalsRowFunction="sum" dataDxfId="853" totalsRowDxfId="852"/>
    <tableColumn id="4" name="Disability" totalsRowFunction="sum" dataDxfId="851" totalsRowDxfId="850"/>
    <tableColumn id="5" name="Distance/Effort" totalsRowFunction="sum" dataDxfId="849" totalsRowDxfId="848"/>
    <tableColumn id="6" name="Don't want to" totalsRowFunction="sum" dataDxfId="847" totalsRowDxfId="846"/>
    <tableColumn id="7" name="Need car for work" totalsRowFunction="sum" dataDxfId="845" totalsRowDxfId="844"/>
    <tableColumn id="8" name="Not confident" totalsRowFunction="sum" dataDxfId="843" totalsRowDxfId="842"/>
    <tableColumn id="9" name="Personal safety" totalsRowFunction="sum" dataDxfId="841" totalsRowDxfId="840"/>
    <tableColumn id="10" name="Poor walking routes" totalsRowFunction="sum" dataDxfId="839" totalsRowDxfId="838"/>
    <tableColumn id="11" name="Road Safety/Traffic" totalsRowFunction="custom" dataDxfId="837" totalsRowDxfId="836">
      <totalsRowFormula>SUBTOTAL(109,Table2457910111236[Care responsibilities])</totalsRowFormula>
    </tableColumn>
    <tableColumn id="12" name="Weather/Terrain" totalsRowFunction="custom" dataDxfId="835" totalsRowDxfId="834">
      <totalsRowFormula>SUBTOTAL(109,Table2457910111236[Disability])</totalsRowFormula>
    </tableColumn>
    <tableColumn id="13" name="Work from home" totalsRowFunction="custom" dataDxfId="833" totalsRowDxfId="832">
      <totalsRowFormula>SUBTOTAL(109,Table2457910111236[Distance/Effort])</totalsRowFormula>
    </tableColumn>
    <tableColumn id="14" name="N/A" totalsRowFunction="custom" dataDxfId="831" totalsRowDxfId="830">
      <totalsRowFormula>SUBTOTAL(109,Table2457910111236[Don''t want to])</totalsRowFormula>
    </tableColumn>
    <tableColumn id="15" name="Other (specify)" totalsRowFunction="custom" dataDxfId="829" totalsRowDxfId="828">
      <totalsRowFormula>SUBTOTAL(109,Table2457910111236[Need car for work])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table" Target="../tables/table12.xml"/><Relationship Id="rId7" Type="http://schemas.openxmlformats.org/officeDocument/2006/relationships/table" Target="../tables/table16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10" Type="http://schemas.openxmlformats.org/officeDocument/2006/relationships/table" Target="../tables/table19.xml"/><Relationship Id="rId4" Type="http://schemas.openxmlformats.org/officeDocument/2006/relationships/table" Target="../tables/table13.xml"/><Relationship Id="rId9" Type="http://schemas.openxmlformats.org/officeDocument/2006/relationships/table" Target="../tables/table1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6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24.xml"/><Relationship Id="rId5" Type="http://schemas.openxmlformats.org/officeDocument/2006/relationships/table" Target="../tables/table23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43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31" style="13" customWidth="1"/>
    <col min="2" max="2" width="24.5703125" style="13" customWidth="1"/>
    <col min="3" max="5" width="9.140625" style="13"/>
    <col min="6" max="6" width="19.7109375" style="13" bestFit="1" customWidth="1"/>
    <col min="7" max="16384" width="9.140625" style="13"/>
  </cols>
  <sheetData>
    <row r="1" spans="1:7" ht="26.25" x14ac:dyDescent="0.4">
      <c r="A1" s="15" t="s">
        <v>193</v>
      </c>
    </row>
    <row r="3" spans="1:7" x14ac:dyDescent="0.25">
      <c r="A3" s="16" t="s">
        <v>86</v>
      </c>
      <c r="E3" s="16" t="s">
        <v>183</v>
      </c>
    </row>
    <row r="4" spans="1:7" x14ac:dyDescent="0.25">
      <c r="F4" s="17"/>
      <c r="G4" s="17"/>
    </row>
    <row r="5" spans="1:7" x14ac:dyDescent="0.25">
      <c r="A5" s="20" t="s">
        <v>87</v>
      </c>
      <c r="B5" s="53">
        <v>44918</v>
      </c>
      <c r="E5" s="17" t="s">
        <v>94</v>
      </c>
      <c r="F5" s="17"/>
      <c r="G5" s="50"/>
    </row>
    <row r="6" spans="1:7" x14ac:dyDescent="0.25">
      <c r="A6" s="20" t="s">
        <v>88</v>
      </c>
      <c r="B6" s="54" t="s">
        <v>96</v>
      </c>
      <c r="E6" s="17" t="s">
        <v>95</v>
      </c>
      <c r="F6" s="17"/>
      <c r="G6" s="49"/>
    </row>
    <row r="7" spans="1:7" x14ac:dyDescent="0.25">
      <c r="A7" s="20" t="s">
        <v>89</v>
      </c>
      <c r="B7" s="54" t="s">
        <v>97</v>
      </c>
    </row>
    <row r="8" spans="1:7" x14ac:dyDescent="0.25">
      <c r="A8" s="20" t="s">
        <v>90</v>
      </c>
      <c r="B8" s="54" t="s">
        <v>184</v>
      </c>
    </row>
    <row r="9" spans="1:7" x14ac:dyDescent="0.25">
      <c r="A9" s="20" t="s">
        <v>91</v>
      </c>
      <c r="B9" s="53">
        <v>45044</v>
      </c>
    </row>
    <row r="10" spans="1:7" x14ac:dyDescent="0.25">
      <c r="A10" s="20" t="s">
        <v>92</v>
      </c>
      <c r="B10" s="54" t="s">
        <v>96</v>
      </c>
    </row>
    <row r="11" spans="1:7" x14ac:dyDescent="0.25">
      <c r="A11" s="20" t="s">
        <v>93</v>
      </c>
      <c r="B11" s="54" t="s">
        <v>185</v>
      </c>
    </row>
    <row r="13" spans="1:7" x14ac:dyDescent="0.25">
      <c r="A13" s="16" t="s">
        <v>98</v>
      </c>
    </row>
    <row r="15" spans="1:7" x14ac:dyDescent="0.25">
      <c r="A15" s="13" t="s">
        <v>99</v>
      </c>
    </row>
    <row r="16" spans="1:7" x14ac:dyDescent="0.25">
      <c r="A16" s="13" t="s">
        <v>106</v>
      </c>
    </row>
    <row r="17" spans="1:7" x14ac:dyDescent="0.25">
      <c r="A17" s="13" t="s">
        <v>102</v>
      </c>
    </row>
    <row r="19" spans="1:7" x14ac:dyDescent="0.25">
      <c r="A19" s="16" t="s">
        <v>100</v>
      </c>
    </row>
    <row r="21" spans="1:7" x14ac:dyDescent="0.25">
      <c r="A21" s="13" t="s">
        <v>101</v>
      </c>
    </row>
    <row r="22" spans="1:7" x14ac:dyDescent="0.25">
      <c r="A22" s="13" t="s">
        <v>180</v>
      </c>
    </row>
    <row r="23" spans="1:7" x14ac:dyDescent="0.25">
      <c r="A23" s="13" t="s">
        <v>136</v>
      </c>
    </row>
    <row r="24" spans="1:7" x14ac:dyDescent="0.25">
      <c r="A24" s="13" t="s">
        <v>137</v>
      </c>
    </row>
    <row r="25" spans="1:7" x14ac:dyDescent="0.25">
      <c r="A25" s="13" t="s">
        <v>105</v>
      </c>
    </row>
    <row r="26" spans="1:7" x14ac:dyDescent="0.25">
      <c r="A26" s="13" t="s">
        <v>181</v>
      </c>
    </row>
    <row r="27" spans="1:7" x14ac:dyDescent="0.25">
      <c r="A27" s="13" t="s">
        <v>182</v>
      </c>
    </row>
    <row r="28" spans="1:7" x14ac:dyDescent="0.25">
      <c r="A28" s="13" t="s">
        <v>192</v>
      </c>
    </row>
    <row r="30" spans="1:7" x14ac:dyDescent="0.25">
      <c r="A30" s="16" t="s">
        <v>140</v>
      </c>
      <c r="F30" s="16" t="s">
        <v>170</v>
      </c>
      <c r="G30" s="16" t="s">
        <v>171</v>
      </c>
    </row>
    <row r="32" spans="1:7" x14ac:dyDescent="0.25">
      <c r="A32" s="20" t="s">
        <v>141</v>
      </c>
      <c r="B32" s="51"/>
      <c r="F32" s="55" t="s">
        <v>172</v>
      </c>
      <c r="G32" s="13" t="s">
        <v>175</v>
      </c>
    </row>
    <row r="33" spans="1:7" x14ac:dyDescent="0.25">
      <c r="A33" s="20" t="s">
        <v>142</v>
      </c>
      <c r="B33" s="51"/>
      <c r="F33" s="56" t="s">
        <v>134</v>
      </c>
      <c r="G33" s="13" t="s">
        <v>176</v>
      </c>
    </row>
    <row r="34" spans="1:7" x14ac:dyDescent="0.25">
      <c r="A34" s="20" t="s">
        <v>143</v>
      </c>
      <c r="B34" s="51"/>
      <c r="F34" s="57" t="s">
        <v>173</v>
      </c>
      <c r="G34" s="13" t="s">
        <v>177</v>
      </c>
    </row>
    <row r="35" spans="1:7" x14ac:dyDescent="0.25">
      <c r="A35" s="20" t="s">
        <v>144</v>
      </c>
      <c r="B35" s="51"/>
      <c r="C35" s="47" t="s">
        <v>147</v>
      </c>
      <c r="F35" s="58" t="s">
        <v>174</v>
      </c>
      <c r="G35" s="13" t="s">
        <v>178</v>
      </c>
    </row>
    <row r="36" spans="1:7" x14ac:dyDescent="0.25">
      <c r="A36" s="20" t="s">
        <v>148</v>
      </c>
      <c r="B36" s="52"/>
    </row>
    <row r="37" spans="1:7" x14ac:dyDescent="0.25">
      <c r="A37" s="20" t="s">
        <v>179</v>
      </c>
      <c r="B37" s="52"/>
    </row>
    <row r="38" spans="1:7" x14ac:dyDescent="0.25">
      <c r="A38" s="20" t="s">
        <v>145</v>
      </c>
      <c r="B38" s="51"/>
      <c r="C38" s="47" t="s">
        <v>149</v>
      </c>
    </row>
    <row r="39" spans="1:7" x14ac:dyDescent="0.25">
      <c r="A39" s="20" t="s">
        <v>186</v>
      </c>
      <c r="B39" s="51"/>
      <c r="C39" s="47" t="s">
        <v>149</v>
      </c>
    </row>
    <row r="40" spans="1:7" x14ac:dyDescent="0.25">
      <c r="A40" s="20" t="s">
        <v>187</v>
      </c>
      <c r="B40" s="51"/>
      <c r="C40" s="47"/>
    </row>
    <row r="41" spans="1:7" x14ac:dyDescent="0.25">
      <c r="A41" s="20" t="s">
        <v>188</v>
      </c>
      <c r="B41" s="51"/>
      <c r="C41" s="47"/>
    </row>
    <row r="42" spans="1:7" x14ac:dyDescent="0.25">
      <c r="A42" s="20" t="s">
        <v>146</v>
      </c>
      <c r="B42" s="51"/>
      <c r="C42" s="47" t="s">
        <v>149</v>
      </c>
    </row>
    <row r="43" spans="1:7" x14ac:dyDescent="0.25">
      <c r="B43" s="52"/>
      <c r="C43" s="47" t="s">
        <v>189</v>
      </c>
    </row>
  </sheetData>
  <hyperlinks>
    <hyperlink ref="F32" location="'WALKING (EXAMPLE)'!A1" display="WALKING (EXAMPLE)"/>
    <hyperlink ref="F33" location="WALKING!A1" display="WALKING"/>
    <hyperlink ref="F34" location="CYCLING!A1" display="CYCLING"/>
    <hyperlink ref="F35" location="'PUBLIC TRANSPORT'!A1" display="PUBLIC TRANSPORT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'CELL VALIDATION'!$A$2:$A$12</xm:f>
          </x14:formula1>
          <xm:sqref>B38</xm:sqref>
        </x14:dataValidation>
        <x14:dataValidation type="list" allowBlank="1" showInputMessage="1" showErrorMessage="1">
          <x14:formula1>
            <xm:f>'CELL VALIDATION'!$B$2:$B$6</xm:f>
          </x14:formula1>
          <xm:sqref>B39:B41</xm:sqref>
        </x14:dataValidation>
        <x14:dataValidation type="list" allowBlank="1" showInputMessage="1" showErrorMessage="1">
          <x14:formula1>
            <xm:f>'CELL VALIDATION'!$C$2:$C$5</xm:f>
          </x14:formula1>
          <xm:sqref>B42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4" sqref="E14"/>
    </sheetView>
  </sheetViews>
  <sheetFormatPr defaultRowHeight="15" x14ac:dyDescent="0.25"/>
  <sheetData>
    <row r="1" spans="1:3" x14ac:dyDescent="0.25">
      <c r="A1" s="48" t="s">
        <v>151</v>
      </c>
      <c r="B1" s="48" t="s">
        <v>152</v>
      </c>
      <c r="C1" s="48" t="s">
        <v>166</v>
      </c>
    </row>
    <row r="2" spans="1:3" x14ac:dyDescent="0.25">
      <c r="A2" s="13" t="s">
        <v>150</v>
      </c>
      <c r="B2" s="13" t="s">
        <v>153</v>
      </c>
      <c r="C2" s="13" t="s">
        <v>167</v>
      </c>
    </row>
    <row r="3" spans="1:3" x14ac:dyDescent="0.25">
      <c r="A3" s="13" t="s">
        <v>154</v>
      </c>
      <c r="B3" s="13" t="s">
        <v>190</v>
      </c>
      <c r="C3" s="13" t="s">
        <v>168</v>
      </c>
    </row>
    <row r="4" spans="1:3" x14ac:dyDescent="0.25">
      <c r="A4" s="13" t="s">
        <v>155</v>
      </c>
      <c r="B4" s="13" t="s">
        <v>191</v>
      </c>
      <c r="C4" s="13" t="s">
        <v>169</v>
      </c>
    </row>
    <row r="5" spans="1:3" x14ac:dyDescent="0.25">
      <c r="A5" s="13" t="s">
        <v>156</v>
      </c>
      <c r="B5" s="13" t="s">
        <v>157</v>
      </c>
      <c r="C5" s="13" t="s">
        <v>37</v>
      </c>
    </row>
    <row r="6" spans="1:3" x14ac:dyDescent="0.25">
      <c r="A6" s="13" t="s">
        <v>158</v>
      </c>
      <c r="B6" s="13" t="s">
        <v>159</v>
      </c>
    </row>
    <row r="7" spans="1:3" x14ac:dyDescent="0.25">
      <c r="A7" s="13" t="s">
        <v>160</v>
      </c>
      <c r="B7" s="13"/>
    </row>
    <row r="8" spans="1:3" x14ac:dyDescent="0.25">
      <c r="A8" s="13" t="s">
        <v>161</v>
      </c>
      <c r="B8" s="13"/>
    </row>
    <row r="9" spans="1:3" x14ac:dyDescent="0.25">
      <c r="A9" s="13" t="s">
        <v>162</v>
      </c>
      <c r="B9" s="13"/>
    </row>
    <row r="10" spans="1:3" x14ac:dyDescent="0.25">
      <c r="A10" s="13" t="s">
        <v>163</v>
      </c>
      <c r="B10" s="13"/>
    </row>
    <row r="11" spans="1:3" x14ac:dyDescent="0.25">
      <c r="A11" s="13" t="s">
        <v>164</v>
      </c>
      <c r="B11" s="13"/>
    </row>
    <row r="12" spans="1:3" x14ac:dyDescent="0.25">
      <c r="A12" s="13" t="s">
        <v>165</v>
      </c>
      <c r="B12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Q56"/>
  <sheetViews>
    <sheetView zoomScale="85" zoomScaleNormal="85" workbookViewId="0">
      <selection activeCell="D27" sqref="D27"/>
    </sheetView>
  </sheetViews>
  <sheetFormatPr defaultRowHeight="15" x14ac:dyDescent="0.25"/>
  <cols>
    <col min="1" max="1" width="3.28515625" style="13" customWidth="1"/>
    <col min="2" max="2" width="21.42578125" style="13" bestFit="1" customWidth="1"/>
    <col min="3" max="17" width="13.7109375" style="13" customWidth="1"/>
    <col min="18" max="16384" width="9.140625" style="13"/>
  </cols>
  <sheetData>
    <row r="1" spans="2:17" ht="18.75" x14ac:dyDescent="0.3">
      <c r="B1" s="40" t="s">
        <v>135</v>
      </c>
    </row>
    <row r="2" spans="2:17" x14ac:dyDescent="0.25">
      <c r="B2" s="60" t="s">
        <v>85</v>
      </c>
      <c r="C2" s="13" t="s">
        <v>3</v>
      </c>
      <c r="D2" s="13" t="s">
        <v>78</v>
      </c>
    </row>
    <row r="3" spans="2:17" x14ac:dyDescent="0.25">
      <c r="B3" s="60"/>
      <c r="C3" s="13" t="s">
        <v>77</v>
      </c>
      <c r="D3" s="13" t="s">
        <v>4</v>
      </c>
    </row>
    <row r="4" spans="2:17" x14ac:dyDescent="0.25">
      <c r="B4" s="41"/>
    </row>
    <row r="5" spans="2:17" x14ac:dyDescent="0.25">
      <c r="B5" s="16" t="s">
        <v>0</v>
      </c>
      <c r="C5" s="16" t="s">
        <v>1</v>
      </c>
      <c r="D5" s="16" t="s">
        <v>2</v>
      </c>
    </row>
    <row r="7" spans="2:17" s="42" customFormat="1" x14ac:dyDescent="0.25">
      <c r="B7" s="27" t="s">
        <v>15</v>
      </c>
      <c r="C7" s="43" t="s">
        <v>103</v>
      </c>
      <c r="D7" s="44" t="s">
        <v>109</v>
      </c>
      <c r="E7" s="44" t="s">
        <v>115</v>
      </c>
      <c r="F7" s="44" t="s">
        <v>5</v>
      </c>
      <c r="G7" s="44" t="s">
        <v>6</v>
      </c>
      <c r="H7" s="44" t="s">
        <v>110</v>
      </c>
      <c r="I7" s="44" t="s">
        <v>111</v>
      </c>
      <c r="J7" s="44" t="s">
        <v>112</v>
      </c>
      <c r="K7" s="44" t="s">
        <v>113</v>
      </c>
      <c r="L7" s="44" t="s">
        <v>108</v>
      </c>
      <c r="M7" s="44" t="s">
        <v>8</v>
      </c>
      <c r="N7" s="44" t="s">
        <v>9</v>
      </c>
      <c r="O7" s="44" t="s">
        <v>114</v>
      </c>
      <c r="P7" s="44" t="s">
        <v>10</v>
      </c>
      <c r="Q7" s="45" t="s">
        <v>11</v>
      </c>
    </row>
    <row r="8" spans="2:17" x14ac:dyDescent="0.25">
      <c r="B8" s="19" t="s">
        <v>12</v>
      </c>
      <c r="C8" s="19">
        <v>6</v>
      </c>
      <c r="D8" s="20">
        <v>4</v>
      </c>
      <c r="E8" s="20">
        <v>3</v>
      </c>
      <c r="F8" s="20">
        <v>4</v>
      </c>
      <c r="G8" s="20">
        <v>0</v>
      </c>
      <c r="H8" s="20">
        <v>4</v>
      </c>
      <c r="I8" s="20">
        <v>4</v>
      </c>
      <c r="J8" s="20">
        <v>4</v>
      </c>
      <c r="K8" s="20">
        <v>5</v>
      </c>
      <c r="L8" s="20">
        <v>5</v>
      </c>
      <c r="M8" s="20">
        <v>3</v>
      </c>
      <c r="N8" s="20">
        <v>2</v>
      </c>
      <c r="O8" s="20">
        <v>1</v>
      </c>
      <c r="P8" s="20">
        <v>4</v>
      </c>
      <c r="Q8" s="20">
        <v>3</v>
      </c>
    </row>
    <row r="9" spans="2:17" x14ac:dyDescent="0.25">
      <c r="B9" s="19" t="s">
        <v>13</v>
      </c>
      <c r="C9" s="19">
        <v>7</v>
      </c>
      <c r="D9" s="20">
        <v>1</v>
      </c>
      <c r="E9" s="20">
        <v>0</v>
      </c>
      <c r="F9" s="20">
        <v>0</v>
      </c>
      <c r="G9" s="20">
        <v>4</v>
      </c>
      <c r="H9" s="20">
        <v>0</v>
      </c>
      <c r="I9" s="20">
        <v>5</v>
      </c>
      <c r="J9" s="20">
        <v>0</v>
      </c>
      <c r="K9" s="20">
        <v>3</v>
      </c>
      <c r="L9" s="20">
        <v>0</v>
      </c>
      <c r="M9" s="20">
        <v>0</v>
      </c>
      <c r="N9" s="20">
        <v>3</v>
      </c>
      <c r="O9" s="20">
        <v>2</v>
      </c>
      <c r="P9" s="20">
        <v>1</v>
      </c>
      <c r="Q9" s="20">
        <v>4</v>
      </c>
    </row>
    <row r="10" spans="2:17" x14ac:dyDescent="0.25">
      <c r="B10" s="21" t="s">
        <v>14</v>
      </c>
      <c r="C10" s="21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</row>
    <row r="11" spans="2:17" x14ac:dyDescent="0.25">
      <c r="B11" s="21" t="s">
        <v>20</v>
      </c>
      <c r="C11" s="21">
        <f>SUBTOTAL(109,Table2838[RESPONSES])</f>
        <v>13</v>
      </c>
      <c r="D11" s="22">
        <f>SUBTOTAL(109,Table2838[Air quality])</f>
        <v>5</v>
      </c>
      <c r="E11" s="22"/>
      <c r="F11" s="22">
        <f>SUBTOTAL(109,Table2838[Disability])</f>
        <v>4</v>
      </c>
      <c r="G11" s="22">
        <f>SUBTOTAL(109,Table2838[Distance/Effort])</f>
        <v>4</v>
      </c>
      <c r="H11" s="22">
        <f>SUBTOTAL(109,Table2838[Don''t want to])</f>
        <v>4</v>
      </c>
      <c r="I11" s="22">
        <f>SUBTOTAL(109,Table2838[Need car for work])</f>
        <v>9</v>
      </c>
      <c r="J11" s="22">
        <f>SUBTOTAL(109,Table2838[Not confident])</f>
        <v>4</v>
      </c>
      <c r="K11" s="22">
        <f>SUBTOTAL(109,Table2838[Personal safety])</f>
        <v>8</v>
      </c>
      <c r="L11" s="22">
        <f>SUBTOTAL(109,Table2838[Poor walking routes])</f>
        <v>5</v>
      </c>
      <c r="M11" s="22">
        <f>SUBTOTAL(109,Table2838[Road Safety/Traffic])</f>
        <v>3</v>
      </c>
      <c r="N11" s="22">
        <f>SUBTOTAL(109,Table2838[Weather/Terrain])</f>
        <v>5</v>
      </c>
      <c r="O11" s="22"/>
      <c r="P11" s="22">
        <f>SUBTOTAL(109,Table2838[N/A])</f>
        <v>5</v>
      </c>
      <c r="Q11" s="22">
        <f>SUBTOTAL(109,Table2838[Other (specify)])</f>
        <v>7</v>
      </c>
    </row>
    <row r="13" spans="2:17" ht="92.25" x14ac:dyDescent="1.35">
      <c r="B13" s="46" t="s">
        <v>57</v>
      </c>
      <c r="D13" s="39"/>
      <c r="F13" s="39"/>
      <c r="H13" s="39"/>
      <c r="J13" s="39"/>
      <c r="L13" s="39"/>
      <c r="N13" s="39"/>
      <c r="P13" s="39"/>
    </row>
    <row r="15" spans="2:17" ht="21" x14ac:dyDescent="0.35">
      <c r="B15" s="39"/>
      <c r="D15" s="39"/>
      <c r="F15" s="39"/>
      <c r="H15" s="39"/>
      <c r="J15" s="39"/>
      <c r="L15" s="39"/>
      <c r="N15" s="39"/>
      <c r="P15" s="39"/>
    </row>
    <row r="17" spans="2:16" ht="21" x14ac:dyDescent="0.35">
      <c r="B17" s="39"/>
      <c r="D17" s="39"/>
      <c r="F17" s="39"/>
      <c r="H17" s="39"/>
      <c r="J17" s="39"/>
      <c r="L17" s="39"/>
      <c r="N17" s="39"/>
      <c r="P17" s="39"/>
    </row>
    <row r="19" spans="2:16" ht="21" x14ac:dyDescent="0.35">
      <c r="B19" s="39"/>
      <c r="D19" s="39"/>
      <c r="F19" s="39"/>
      <c r="H19" s="39"/>
      <c r="J19" s="39"/>
      <c r="L19" s="39"/>
      <c r="N19" s="39"/>
      <c r="P19" s="39"/>
    </row>
    <row r="21" spans="2:16" ht="21" x14ac:dyDescent="0.35">
      <c r="B21" s="39"/>
      <c r="D21" s="39"/>
      <c r="F21" s="39"/>
      <c r="H21" s="39"/>
      <c r="J21" s="39"/>
      <c r="L21" s="39"/>
      <c r="N21" s="39"/>
      <c r="P21" s="39"/>
    </row>
    <row r="23" spans="2:16" ht="21" x14ac:dyDescent="0.35">
      <c r="B23" s="39"/>
      <c r="D23" s="39"/>
      <c r="F23" s="39"/>
      <c r="H23" s="39"/>
      <c r="J23" s="39"/>
      <c r="L23" s="39"/>
      <c r="N23" s="39"/>
      <c r="P23" s="39"/>
    </row>
    <row r="25" spans="2:16" ht="21" x14ac:dyDescent="0.35">
      <c r="B25" s="39"/>
      <c r="D25" s="39"/>
      <c r="F25" s="39"/>
      <c r="H25" s="39"/>
      <c r="J25" s="39"/>
      <c r="L25" s="39"/>
      <c r="N25" s="39"/>
      <c r="P25" s="39"/>
    </row>
    <row r="37" spans="1:1" x14ac:dyDescent="0.25">
      <c r="A37" s="42"/>
    </row>
    <row r="38" spans="1:1" x14ac:dyDescent="0.25">
      <c r="A38" s="61" t="s">
        <v>51</v>
      </c>
    </row>
    <row r="39" spans="1:1" x14ac:dyDescent="0.25">
      <c r="A39" s="61"/>
    </row>
    <row r="40" spans="1:1" x14ac:dyDescent="0.25">
      <c r="A40" s="61"/>
    </row>
    <row r="41" spans="1:1" x14ac:dyDescent="0.25">
      <c r="A41" s="61"/>
    </row>
    <row r="42" spans="1:1" x14ac:dyDescent="0.25">
      <c r="A42" s="61"/>
    </row>
    <row r="43" spans="1:1" x14ac:dyDescent="0.25">
      <c r="A43" s="61" t="s">
        <v>52</v>
      </c>
    </row>
    <row r="44" spans="1:1" x14ac:dyDescent="0.25">
      <c r="A44" s="61"/>
    </row>
    <row r="45" spans="1:1" x14ac:dyDescent="0.25">
      <c r="A45" s="61"/>
    </row>
    <row r="46" spans="1:1" x14ac:dyDescent="0.25">
      <c r="A46" s="59" t="s">
        <v>53</v>
      </c>
    </row>
    <row r="47" spans="1:1" x14ac:dyDescent="0.25">
      <c r="A47" s="59"/>
    </row>
    <row r="48" spans="1:1" x14ac:dyDescent="0.25">
      <c r="A48" s="59"/>
    </row>
    <row r="49" spans="1:1" x14ac:dyDescent="0.25">
      <c r="A49" s="59"/>
    </row>
    <row r="50" spans="1:1" x14ac:dyDescent="0.25">
      <c r="A50" s="59" t="s">
        <v>54</v>
      </c>
    </row>
    <row r="51" spans="1:1" x14ac:dyDescent="0.25">
      <c r="A51" s="59"/>
    </row>
    <row r="52" spans="1:1" x14ac:dyDescent="0.25">
      <c r="A52" s="59"/>
    </row>
    <row r="53" spans="1:1" x14ac:dyDescent="0.25">
      <c r="A53" s="59"/>
    </row>
    <row r="54" spans="1:1" x14ac:dyDescent="0.25">
      <c r="A54" s="59" t="s">
        <v>37</v>
      </c>
    </row>
    <row r="55" spans="1:1" x14ac:dyDescent="0.25">
      <c r="A55" s="59"/>
    </row>
    <row r="56" spans="1:1" x14ac:dyDescent="0.25">
      <c r="A56" s="59"/>
    </row>
  </sheetData>
  <mergeCells count="6">
    <mergeCell ref="A54:A56"/>
    <mergeCell ref="B2:B3"/>
    <mergeCell ref="A38:A42"/>
    <mergeCell ref="A43:A45"/>
    <mergeCell ref="A46:A49"/>
    <mergeCell ref="A50:A53"/>
  </mergeCells>
  <conditionalFormatting sqref="D8:Q10">
    <cfRule type="colorScale" priority="10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105"/>
  <sheetViews>
    <sheetView zoomScale="85" zoomScaleNormal="85" workbookViewId="0">
      <selection activeCell="D99" sqref="D99"/>
    </sheetView>
  </sheetViews>
  <sheetFormatPr defaultRowHeight="15" x14ac:dyDescent="0.25"/>
  <cols>
    <col min="1" max="1" width="3.28515625" customWidth="1"/>
    <col min="2" max="2" width="21.42578125" bestFit="1" customWidth="1"/>
    <col min="3" max="17" width="13.7109375" customWidth="1"/>
  </cols>
  <sheetData>
    <row r="1" spans="2:17" ht="18.75" x14ac:dyDescent="0.3">
      <c r="B1" s="38" t="s">
        <v>135</v>
      </c>
    </row>
    <row r="2" spans="2:17" x14ac:dyDescent="0.25">
      <c r="B2" s="63" t="s">
        <v>85</v>
      </c>
      <c r="C2" t="s">
        <v>3</v>
      </c>
      <c r="D2" t="s">
        <v>78</v>
      </c>
    </row>
    <row r="3" spans="2:17" x14ac:dyDescent="0.25">
      <c r="B3" s="63"/>
      <c r="C3" t="s">
        <v>77</v>
      </c>
      <c r="D3" t="s">
        <v>4</v>
      </c>
    </row>
    <row r="4" spans="2:17" x14ac:dyDescent="0.25">
      <c r="B4" s="12"/>
    </row>
    <row r="5" spans="2:17" x14ac:dyDescent="0.25">
      <c r="B5" s="14" t="s">
        <v>0</v>
      </c>
      <c r="C5" s="14" t="s">
        <v>1</v>
      </c>
      <c r="D5" s="14" t="s">
        <v>2</v>
      </c>
    </row>
    <row r="7" spans="2:17" s="31" customFormat="1" x14ac:dyDescent="0.25">
      <c r="B7" s="27" t="s">
        <v>15</v>
      </c>
      <c r="C7" s="28" t="s">
        <v>103</v>
      </c>
      <c r="D7" s="29" t="s">
        <v>109</v>
      </c>
      <c r="E7" s="29" t="s">
        <v>115</v>
      </c>
      <c r="F7" s="29" t="s">
        <v>5</v>
      </c>
      <c r="G7" s="29" t="s">
        <v>6</v>
      </c>
      <c r="H7" s="29" t="s">
        <v>110</v>
      </c>
      <c r="I7" s="29" t="s">
        <v>111</v>
      </c>
      <c r="J7" s="29" t="s">
        <v>112</v>
      </c>
      <c r="K7" s="29" t="s">
        <v>113</v>
      </c>
      <c r="L7" s="29" t="s">
        <v>108</v>
      </c>
      <c r="M7" s="29" t="s">
        <v>8</v>
      </c>
      <c r="N7" s="29" t="s">
        <v>9</v>
      </c>
      <c r="O7" s="29" t="s">
        <v>114</v>
      </c>
      <c r="P7" s="29" t="s">
        <v>10</v>
      </c>
      <c r="Q7" s="30" t="s">
        <v>11</v>
      </c>
    </row>
    <row r="8" spans="2:17" x14ac:dyDescent="0.25">
      <c r="B8" s="2" t="s">
        <v>12</v>
      </c>
      <c r="C8" s="2" t="s">
        <v>104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</row>
    <row r="9" spans="2:17" x14ac:dyDescent="0.25">
      <c r="B9" s="2" t="s">
        <v>13</v>
      </c>
      <c r="C9" s="2" t="s">
        <v>104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</row>
    <row r="10" spans="2:17" x14ac:dyDescent="0.25">
      <c r="B10" s="4" t="s">
        <v>14</v>
      </c>
      <c r="C10" s="4" t="s">
        <v>104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</row>
    <row r="11" spans="2:17" x14ac:dyDescent="0.25">
      <c r="B11" s="4" t="s">
        <v>20</v>
      </c>
      <c r="C11" s="4">
        <f>SUBTOTAL(109,Table28[RESPONSES])</f>
        <v>0</v>
      </c>
      <c r="D11" s="5">
        <f>SUBTOTAL(109,Table28[Air quality])</f>
        <v>0</v>
      </c>
      <c r="E11" s="5">
        <f>SUBTOTAL(109,Table28[Care responsibilities])</f>
        <v>0</v>
      </c>
      <c r="F11" s="5">
        <f>SUBTOTAL(109,Table28[Disability])</f>
        <v>0</v>
      </c>
      <c r="G11" s="5">
        <f>SUBTOTAL(109,Table28[Distance/Effort])</f>
        <v>0</v>
      </c>
      <c r="H11" s="5">
        <f>SUBTOTAL(109,Table28[Don''t want to])</f>
        <v>0</v>
      </c>
      <c r="I11" s="5">
        <f>SUBTOTAL(109,Table28[Need car for work])</f>
        <v>0</v>
      </c>
      <c r="J11" s="5">
        <f>SUBTOTAL(109,Table28[Not confident])</f>
        <v>0</v>
      </c>
      <c r="K11" s="5">
        <f>SUBTOTAL(109,Table28[Personal safety])</f>
        <v>0</v>
      </c>
      <c r="L11" s="5">
        <f>SUBTOTAL(109,Table28[Poor walking routes])</f>
        <v>0</v>
      </c>
      <c r="M11" s="5">
        <f>SUBTOTAL(109,Table28[Road Safety/Traffic])</f>
        <v>0</v>
      </c>
      <c r="N11" s="5">
        <f>SUBTOTAL(109,Table28[Weather/Terrain])</f>
        <v>0</v>
      </c>
      <c r="O11" s="5">
        <f>SUBTOTAL(109,Table28[Work from home])</f>
        <v>0</v>
      </c>
      <c r="P11" s="5">
        <f>SUBTOTAL(109,Table28[N/A])</f>
        <v>0</v>
      </c>
      <c r="Q11" s="5">
        <f>SUBTOTAL(109,Table28[Other (specify)])</f>
        <v>0</v>
      </c>
    </row>
    <row r="13" spans="2:17" x14ac:dyDescent="0.25">
      <c r="B13" s="14" t="s">
        <v>0</v>
      </c>
      <c r="C13" s="14" t="s">
        <v>18</v>
      </c>
      <c r="D13" s="14" t="s">
        <v>19</v>
      </c>
    </row>
    <row r="15" spans="2:17" x14ac:dyDescent="0.25">
      <c r="B15" s="27" t="s">
        <v>133</v>
      </c>
      <c r="C15" s="28" t="s">
        <v>103</v>
      </c>
      <c r="D15" s="29" t="s">
        <v>109</v>
      </c>
      <c r="E15" s="29" t="s">
        <v>115</v>
      </c>
      <c r="F15" s="29" t="s">
        <v>5</v>
      </c>
      <c r="G15" s="29" t="s">
        <v>6</v>
      </c>
      <c r="H15" s="29" t="s">
        <v>110</v>
      </c>
      <c r="I15" s="29" t="s">
        <v>111</v>
      </c>
      <c r="J15" s="29" t="s">
        <v>112</v>
      </c>
      <c r="K15" s="29" t="s">
        <v>113</v>
      </c>
      <c r="L15" s="29" t="s">
        <v>108</v>
      </c>
      <c r="M15" s="29" t="s">
        <v>8</v>
      </c>
      <c r="N15" s="29" t="s">
        <v>9</v>
      </c>
      <c r="O15" s="29" t="s">
        <v>114</v>
      </c>
      <c r="P15" s="29" t="s">
        <v>10</v>
      </c>
      <c r="Q15" s="30" t="s">
        <v>11</v>
      </c>
    </row>
    <row r="16" spans="2:17" x14ac:dyDescent="0.25">
      <c r="B16" s="2" t="s">
        <v>16</v>
      </c>
      <c r="C16" s="2" t="s">
        <v>104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</row>
    <row r="17" spans="2:17" x14ac:dyDescent="0.25">
      <c r="B17" s="2" t="s">
        <v>17</v>
      </c>
      <c r="C17" s="2" t="s">
        <v>104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</row>
    <row r="18" spans="2:17" x14ac:dyDescent="0.25">
      <c r="B18" s="4" t="s">
        <v>14</v>
      </c>
      <c r="C18" s="4" t="s">
        <v>104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</row>
    <row r="19" spans="2:17" x14ac:dyDescent="0.25">
      <c r="B19" s="7" t="s">
        <v>20</v>
      </c>
      <c r="C19" s="4">
        <f>SUBTOTAL(109,Table2430[RESPONSES])</f>
        <v>0</v>
      </c>
      <c r="D19" s="8">
        <f>SUBTOTAL(109,Table2430[Air quality])</f>
        <v>0</v>
      </c>
      <c r="E19" s="8">
        <f>SUBTOTAL(109,Table2430[Care responsibilities])</f>
        <v>0</v>
      </c>
      <c r="F19" s="8">
        <f>SUBTOTAL(109,Table2430[Disability])</f>
        <v>0</v>
      </c>
      <c r="G19" s="8">
        <f>SUBTOTAL(109,Table2430[Distance/Effort])</f>
        <v>0</v>
      </c>
      <c r="H19" s="8">
        <f>SUBTOTAL(109,Table2430[Don''t want to])</f>
        <v>0</v>
      </c>
      <c r="I19" s="8">
        <f>SUBTOTAL(109,Table2430[Need car for work])</f>
        <v>0</v>
      </c>
      <c r="J19" s="8">
        <f>SUBTOTAL(109,Table2430[Not confident])</f>
        <v>0</v>
      </c>
      <c r="K19" s="8">
        <f>SUBTOTAL(109,Table2430[Personal safety])</f>
        <v>0</v>
      </c>
      <c r="L19" s="8">
        <f>SUBTOTAL(109,Table2430[Poor walking routes])</f>
        <v>0</v>
      </c>
      <c r="M19" s="8">
        <f>SUBTOTAL(109,Table2430[Care responsibilities])</f>
        <v>0</v>
      </c>
      <c r="N19" s="8">
        <f>SUBTOTAL(109,Table2430[Disability])</f>
        <v>0</v>
      </c>
      <c r="O19" s="8">
        <f>SUBTOTAL(109,Table2430[Distance/Effort])</f>
        <v>0</v>
      </c>
      <c r="P19" s="8">
        <f>SUBTOTAL(109,Table2430[Don''t want to])</f>
        <v>0</v>
      </c>
      <c r="Q19" s="8">
        <f>SUBTOTAL(109,Table2430[Need car for work])</f>
        <v>0</v>
      </c>
    </row>
    <row r="21" spans="2:17" x14ac:dyDescent="0.25">
      <c r="B21" s="14" t="s">
        <v>0</v>
      </c>
      <c r="C21" s="14" t="s">
        <v>21</v>
      </c>
      <c r="D21" s="14" t="s">
        <v>22</v>
      </c>
    </row>
    <row r="23" spans="2:17" x14ac:dyDescent="0.25">
      <c r="B23" s="27" t="s">
        <v>15</v>
      </c>
      <c r="C23" s="28" t="s">
        <v>103</v>
      </c>
      <c r="D23" s="29" t="s">
        <v>109</v>
      </c>
      <c r="E23" s="29" t="s">
        <v>115</v>
      </c>
      <c r="F23" s="29" t="s">
        <v>5</v>
      </c>
      <c r="G23" s="29" t="s">
        <v>6</v>
      </c>
      <c r="H23" s="29" t="s">
        <v>110</v>
      </c>
      <c r="I23" s="29" t="s">
        <v>111</v>
      </c>
      <c r="J23" s="29" t="s">
        <v>112</v>
      </c>
      <c r="K23" s="29" t="s">
        <v>113</v>
      </c>
      <c r="L23" s="29" t="s">
        <v>108</v>
      </c>
      <c r="M23" s="29" t="s">
        <v>8</v>
      </c>
      <c r="N23" s="29" t="s">
        <v>9</v>
      </c>
      <c r="O23" s="29" t="s">
        <v>114</v>
      </c>
      <c r="P23" s="29" t="s">
        <v>10</v>
      </c>
      <c r="Q23" s="30" t="s">
        <v>11</v>
      </c>
    </row>
    <row r="24" spans="2:17" x14ac:dyDescent="0.25">
      <c r="B24" s="9" t="s">
        <v>23</v>
      </c>
      <c r="C24" s="9" t="s">
        <v>104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</row>
    <row r="25" spans="2:17" x14ac:dyDescent="0.25">
      <c r="B25" s="9" t="s">
        <v>24</v>
      </c>
      <c r="C25" s="9" t="s">
        <v>104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</row>
    <row r="26" spans="2:17" x14ac:dyDescent="0.25">
      <c r="B26" s="9" t="s">
        <v>25</v>
      </c>
      <c r="C26" s="9" t="s">
        <v>104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</row>
    <row r="27" spans="2:17" x14ac:dyDescent="0.25">
      <c r="B27" s="9" t="s">
        <v>26</v>
      </c>
      <c r="C27" s="9" t="s">
        <v>104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</row>
    <row r="28" spans="2:17" x14ac:dyDescent="0.25">
      <c r="B28" s="9" t="s">
        <v>27</v>
      </c>
      <c r="C28" s="9" t="s">
        <v>104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</row>
    <row r="29" spans="2:17" x14ac:dyDescent="0.25">
      <c r="B29" s="9" t="s">
        <v>28</v>
      </c>
      <c r="C29" s="9" t="s">
        <v>104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</row>
    <row r="30" spans="2:17" x14ac:dyDescent="0.25">
      <c r="B30" s="9" t="s">
        <v>29</v>
      </c>
      <c r="C30" s="9" t="s">
        <v>104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</row>
    <row r="31" spans="2:17" x14ac:dyDescent="0.25">
      <c r="B31" s="9" t="s">
        <v>30</v>
      </c>
      <c r="C31" s="9" t="s">
        <v>104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</row>
    <row r="32" spans="2:17" x14ac:dyDescent="0.25">
      <c r="B32" s="9" t="s">
        <v>14</v>
      </c>
      <c r="C32" s="9" t="s">
        <v>104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</row>
    <row r="33" spans="1:17" x14ac:dyDescent="0.25">
      <c r="B33" s="6" t="s">
        <v>20</v>
      </c>
      <c r="C33" s="6">
        <f>SUBTOTAL(109,Table24531[RESPONSES])</f>
        <v>0</v>
      </c>
      <c r="D33" s="8">
        <f>SUBTOTAL(109,Table24531[Air quality])</f>
        <v>0</v>
      </c>
      <c r="E33" s="8">
        <f>SUBTOTAL(109,Table24531[Care responsibilities])</f>
        <v>0</v>
      </c>
      <c r="F33" s="8">
        <f>SUBTOTAL(109,Table24531[Disability])</f>
        <v>0</v>
      </c>
      <c r="G33" s="8">
        <f>SUBTOTAL(109,Table24531[Distance/Effort])</f>
        <v>0</v>
      </c>
      <c r="H33" s="8">
        <f>SUBTOTAL(109,Table24531[Don''t want to])</f>
        <v>0</v>
      </c>
      <c r="I33" s="8">
        <f>SUBTOTAL(109,Table24531[Need car for work])</f>
        <v>0</v>
      </c>
      <c r="J33" s="8">
        <f>SUBTOTAL(109,Table24531[Not confident])</f>
        <v>0</v>
      </c>
      <c r="K33" s="8">
        <f>SUBTOTAL(109,Table24531[Personal safety])</f>
        <v>0</v>
      </c>
      <c r="L33" s="8">
        <f>SUBTOTAL(109,Table24531[Poor walking routes])</f>
        <v>0</v>
      </c>
      <c r="M33" s="8">
        <f>SUBTOTAL(109,Table24531[Care responsibilities])</f>
        <v>0</v>
      </c>
      <c r="N33" s="8">
        <f>SUBTOTAL(109,Table24531[Disability])</f>
        <v>0</v>
      </c>
      <c r="O33" s="8">
        <f>SUBTOTAL(109,Table24531[Distance/Effort])</f>
        <v>0</v>
      </c>
      <c r="P33" s="8">
        <f>SUBTOTAL(109,Table24531[Don''t want to])</f>
        <v>0</v>
      </c>
      <c r="Q33" s="8">
        <f>SUBTOTAL(109,Table24531[Need car for work])</f>
        <v>0</v>
      </c>
    </row>
    <row r="35" spans="1:17" x14ac:dyDescent="0.25">
      <c r="B35" s="14" t="s">
        <v>0</v>
      </c>
      <c r="C35" s="14" t="s">
        <v>31</v>
      </c>
      <c r="D35" s="14" t="s">
        <v>32</v>
      </c>
    </row>
    <row r="37" spans="1:17" x14ac:dyDescent="0.25">
      <c r="A37" s="31"/>
      <c r="B37" s="27" t="s">
        <v>15</v>
      </c>
      <c r="C37" s="32" t="s">
        <v>103</v>
      </c>
      <c r="D37" s="29" t="s">
        <v>109</v>
      </c>
      <c r="E37" s="29" t="s">
        <v>115</v>
      </c>
      <c r="F37" s="29" t="s">
        <v>5</v>
      </c>
      <c r="G37" s="29" t="s">
        <v>6</v>
      </c>
      <c r="H37" s="29" t="s">
        <v>110</v>
      </c>
      <c r="I37" s="29" t="s">
        <v>111</v>
      </c>
      <c r="J37" s="29" t="s">
        <v>112</v>
      </c>
      <c r="K37" s="29" t="s">
        <v>113</v>
      </c>
      <c r="L37" s="29" t="s">
        <v>108</v>
      </c>
      <c r="M37" s="29" t="s">
        <v>8</v>
      </c>
      <c r="N37" s="29" t="s">
        <v>9</v>
      </c>
      <c r="O37" s="29" t="s">
        <v>114</v>
      </c>
      <c r="P37" s="29" t="s">
        <v>10</v>
      </c>
      <c r="Q37" s="30" t="s">
        <v>11</v>
      </c>
    </row>
    <row r="38" spans="1:17" x14ac:dyDescent="0.25">
      <c r="A38" s="64" t="s">
        <v>51</v>
      </c>
      <c r="B38" s="10" t="s">
        <v>33</v>
      </c>
      <c r="C38" s="9" t="s">
        <v>104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</row>
    <row r="39" spans="1:17" x14ac:dyDescent="0.25">
      <c r="A39" s="64"/>
      <c r="B39" s="10" t="s">
        <v>34</v>
      </c>
      <c r="C39" s="9" t="s">
        <v>104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</row>
    <row r="40" spans="1:17" x14ac:dyDescent="0.25">
      <c r="A40" s="64"/>
      <c r="B40" s="10" t="s">
        <v>35</v>
      </c>
      <c r="C40" s="9" t="s">
        <v>104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</row>
    <row r="41" spans="1:17" x14ac:dyDescent="0.25">
      <c r="A41" s="64"/>
      <c r="B41" s="10" t="s">
        <v>36</v>
      </c>
      <c r="C41" s="9" t="s">
        <v>104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</row>
    <row r="42" spans="1:17" x14ac:dyDescent="0.25">
      <c r="A42" s="64"/>
      <c r="B42" s="10" t="s">
        <v>37</v>
      </c>
      <c r="C42" s="9" t="s">
        <v>104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</row>
    <row r="43" spans="1:17" x14ac:dyDescent="0.25">
      <c r="A43" s="64" t="s">
        <v>52</v>
      </c>
      <c r="B43" s="10" t="s">
        <v>38</v>
      </c>
      <c r="C43" s="9" t="s">
        <v>104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</row>
    <row r="44" spans="1:17" x14ac:dyDescent="0.25">
      <c r="A44" s="64"/>
      <c r="B44" s="10" t="s">
        <v>39</v>
      </c>
      <c r="C44" s="9" t="s">
        <v>104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</row>
    <row r="45" spans="1:17" x14ac:dyDescent="0.25">
      <c r="A45" s="64"/>
      <c r="B45" s="10" t="s">
        <v>40</v>
      </c>
      <c r="C45" s="9" t="s">
        <v>104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</row>
    <row r="46" spans="1:17" x14ac:dyDescent="0.25">
      <c r="A46" s="62" t="s">
        <v>53</v>
      </c>
      <c r="B46" s="10" t="s">
        <v>41</v>
      </c>
      <c r="C46" s="9" t="s">
        <v>104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</row>
    <row r="47" spans="1:17" x14ac:dyDescent="0.25">
      <c r="A47" s="62"/>
      <c r="B47" s="10" t="s">
        <v>42</v>
      </c>
      <c r="C47" s="9" t="s">
        <v>104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</row>
    <row r="48" spans="1:17" x14ac:dyDescent="0.25">
      <c r="A48" s="62"/>
      <c r="B48" s="10" t="s">
        <v>43</v>
      </c>
      <c r="C48" s="9" t="s">
        <v>104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</row>
    <row r="49" spans="1:17" x14ac:dyDescent="0.25">
      <c r="A49" s="62"/>
      <c r="B49" s="10" t="s">
        <v>44</v>
      </c>
      <c r="C49" s="9" t="s">
        <v>104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</row>
    <row r="50" spans="1:17" x14ac:dyDescent="0.25">
      <c r="A50" s="62" t="s">
        <v>54</v>
      </c>
      <c r="B50" s="10" t="s">
        <v>45</v>
      </c>
      <c r="C50" s="9" t="s">
        <v>104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</row>
    <row r="51" spans="1:17" x14ac:dyDescent="0.25">
      <c r="A51" s="62"/>
      <c r="B51" s="10" t="s">
        <v>46</v>
      </c>
      <c r="C51" s="9" t="s">
        <v>104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</row>
    <row r="52" spans="1:17" x14ac:dyDescent="0.25">
      <c r="A52" s="62"/>
      <c r="B52" s="10" t="s">
        <v>47</v>
      </c>
      <c r="C52" s="9" t="s">
        <v>104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</row>
    <row r="53" spans="1:17" x14ac:dyDescent="0.25">
      <c r="A53" s="62"/>
      <c r="B53" s="10" t="s">
        <v>48</v>
      </c>
      <c r="C53" s="9" t="s">
        <v>104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</row>
    <row r="54" spans="1:17" x14ac:dyDescent="0.25">
      <c r="A54" s="62" t="s">
        <v>37</v>
      </c>
      <c r="B54" s="10" t="s">
        <v>49</v>
      </c>
      <c r="C54" s="9" t="s">
        <v>104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</row>
    <row r="55" spans="1:17" x14ac:dyDescent="0.25">
      <c r="A55" s="62"/>
      <c r="B55" s="10" t="s">
        <v>50</v>
      </c>
      <c r="C55" s="9" t="s">
        <v>104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</row>
    <row r="56" spans="1:17" x14ac:dyDescent="0.25">
      <c r="A56" s="62"/>
      <c r="B56" s="10" t="s">
        <v>14</v>
      </c>
      <c r="C56" s="9" t="s">
        <v>104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</row>
    <row r="57" spans="1:17" x14ac:dyDescent="0.25">
      <c r="B57" s="23" t="s">
        <v>20</v>
      </c>
      <c r="C57" s="24">
        <f>SUBTOTAL(109,Table245632[RESPONSES])</f>
        <v>0</v>
      </c>
      <c r="D57" s="8">
        <f>SUBTOTAL(109,Table245632[Air quality])</f>
        <v>0</v>
      </c>
      <c r="E57" s="8">
        <f>SUBTOTAL(109,Table245632[Care responsibilities])</f>
        <v>0</v>
      </c>
      <c r="F57" s="8">
        <f>SUBTOTAL(109,Table245632[Disability])</f>
        <v>0</v>
      </c>
      <c r="G57" s="8">
        <f>SUBTOTAL(109,Table245632[Distance/Effort])</f>
        <v>0</v>
      </c>
      <c r="H57" s="8">
        <f>SUBTOTAL(109,Table245632[Don''t want to])</f>
        <v>0</v>
      </c>
      <c r="I57" s="8">
        <f>SUBTOTAL(109,Table245632[Need car for work])</f>
        <v>0</v>
      </c>
      <c r="J57" s="8">
        <f>SUBTOTAL(109,Table245632[Not confident])</f>
        <v>0</v>
      </c>
      <c r="K57" s="8">
        <f>SUBTOTAL(109,Table245632[Personal safety])</f>
        <v>0</v>
      </c>
      <c r="L57" s="8">
        <f>SUBTOTAL(109,Table245632[Poor walking routes])</f>
        <v>0</v>
      </c>
      <c r="M57" s="8">
        <f>SUBTOTAL(109,Table245632[Road Safety/Traffic])</f>
        <v>0</v>
      </c>
      <c r="N57" s="8">
        <f>SUBTOTAL(109,Table245632[Weather/Terrain])</f>
        <v>0</v>
      </c>
      <c r="O57" s="8">
        <f>SUBTOTAL(109,Table245632[Work from home])</f>
        <v>0</v>
      </c>
      <c r="P57" s="8">
        <f>SUBTOTAL(109,Table245632[N/A])</f>
        <v>0</v>
      </c>
      <c r="Q57" s="8">
        <f>SUBTOTAL(109,Table245632[Other (specify)])</f>
        <v>0</v>
      </c>
    </row>
    <row r="59" spans="1:17" x14ac:dyDescent="0.25">
      <c r="B59" s="14" t="s">
        <v>0</v>
      </c>
      <c r="C59" s="14" t="s">
        <v>55</v>
      </c>
      <c r="D59" s="14" t="s">
        <v>56</v>
      </c>
    </row>
    <row r="61" spans="1:17" x14ac:dyDescent="0.25">
      <c r="B61" s="27" t="s">
        <v>15</v>
      </c>
      <c r="C61" s="28" t="s">
        <v>103</v>
      </c>
      <c r="D61" s="29" t="s">
        <v>109</v>
      </c>
      <c r="E61" s="29" t="s">
        <v>115</v>
      </c>
      <c r="F61" s="29" t="s">
        <v>5</v>
      </c>
      <c r="G61" s="29" t="s">
        <v>6</v>
      </c>
      <c r="H61" s="29" t="s">
        <v>110</v>
      </c>
      <c r="I61" s="29" t="s">
        <v>111</v>
      </c>
      <c r="J61" s="29" t="s">
        <v>112</v>
      </c>
      <c r="K61" s="29" t="s">
        <v>113</v>
      </c>
      <c r="L61" s="29" t="s">
        <v>108</v>
      </c>
      <c r="M61" s="29" t="s">
        <v>8</v>
      </c>
      <c r="N61" s="29" t="s">
        <v>9</v>
      </c>
      <c r="O61" s="29" t="s">
        <v>114</v>
      </c>
      <c r="P61" s="29" t="s">
        <v>10</v>
      </c>
      <c r="Q61" s="30" t="s">
        <v>11</v>
      </c>
    </row>
    <row r="62" spans="1:17" x14ac:dyDescent="0.25">
      <c r="B62" s="9" t="s">
        <v>16</v>
      </c>
      <c r="C62" s="9" t="s">
        <v>104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</row>
    <row r="63" spans="1:17" x14ac:dyDescent="0.25">
      <c r="B63" s="9" t="s">
        <v>17</v>
      </c>
      <c r="C63" s="9" t="s">
        <v>104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</row>
    <row r="64" spans="1:17" x14ac:dyDescent="0.25">
      <c r="B64" s="9" t="s">
        <v>14</v>
      </c>
      <c r="C64" s="9" t="s">
        <v>104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</row>
    <row r="65" spans="2:17" x14ac:dyDescent="0.25">
      <c r="B65" s="6" t="s">
        <v>20</v>
      </c>
      <c r="C65" s="6">
        <f>SUBTOTAL(109,Table245733[RESPONSES])</f>
        <v>0</v>
      </c>
      <c r="D65" s="8">
        <f>SUBTOTAL(109,Table245733[Air quality])</f>
        <v>0</v>
      </c>
      <c r="E65" s="8">
        <f>SUBTOTAL(109,Table245733[Care responsibilities])</f>
        <v>0</v>
      </c>
      <c r="F65" s="8">
        <f>SUBTOTAL(109,Table245733[Disability])</f>
        <v>0</v>
      </c>
      <c r="G65" s="8">
        <f>SUBTOTAL(109,Table245733[Distance/Effort])</f>
        <v>0</v>
      </c>
      <c r="H65" s="8">
        <f>SUBTOTAL(109,Table245733[Don''t want to])</f>
        <v>0</v>
      </c>
      <c r="I65" s="8">
        <f>SUBTOTAL(109,Table245733[Need car for work])</f>
        <v>0</v>
      </c>
      <c r="J65" s="8">
        <f>SUBTOTAL(109,Table245733[Not confident])</f>
        <v>0</v>
      </c>
      <c r="K65" s="8">
        <f>SUBTOTAL(109,Table245733[Personal safety])</f>
        <v>0</v>
      </c>
      <c r="L65" s="8">
        <f>SUBTOTAL(109,Table245733[Poor walking routes])</f>
        <v>0</v>
      </c>
      <c r="M65" s="8">
        <f>SUBTOTAL(109,Table245733[Care responsibilities])</f>
        <v>0</v>
      </c>
      <c r="N65" s="8">
        <f>SUBTOTAL(109,Table245733[Disability])</f>
        <v>0</v>
      </c>
      <c r="O65" s="8">
        <f>SUBTOTAL(109,Table245733[Distance/Effort])</f>
        <v>0</v>
      </c>
      <c r="P65" s="8">
        <f>SUBTOTAL(109,Table245733[Don''t want to])</f>
        <v>0</v>
      </c>
      <c r="Q65" s="8">
        <f>SUBTOTAL(109,Table245733[Need car for work])</f>
        <v>0</v>
      </c>
    </row>
    <row r="67" spans="2:17" x14ac:dyDescent="0.25">
      <c r="B67" s="14" t="s">
        <v>0</v>
      </c>
      <c r="C67" s="14" t="s">
        <v>107</v>
      </c>
      <c r="D67" s="14" t="s">
        <v>58</v>
      </c>
    </row>
    <row r="69" spans="2:17" x14ac:dyDescent="0.25">
      <c r="B69" s="27" t="s">
        <v>15</v>
      </c>
      <c r="C69" s="28" t="s">
        <v>103</v>
      </c>
      <c r="D69" s="29" t="s">
        <v>109</v>
      </c>
      <c r="E69" s="29" t="s">
        <v>115</v>
      </c>
      <c r="F69" s="29" t="s">
        <v>5</v>
      </c>
      <c r="G69" s="29" t="s">
        <v>6</v>
      </c>
      <c r="H69" s="29" t="s">
        <v>110</v>
      </c>
      <c r="I69" s="29" t="s">
        <v>111</v>
      </c>
      <c r="J69" s="29" t="s">
        <v>112</v>
      </c>
      <c r="K69" s="29" t="s">
        <v>113</v>
      </c>
      <c r="L69" s="29" t="s">
        <v>108</v>
      </c>
      <c r="M69" s="29" t="s">
        <v>8</v>
      </c>
      <c r="N69" s="29" t="s">
        <v>9</v>
      </c>
      <c r="O69" s="29" t="s">
        <v>114</v>
      </c>
      <c r="P69" s="29" t="s">
        <v>10</v>
      </c>
      <c r="Q69" s="30" t="s">
        <v>11</v>
      </c>
    </row>
    <row r="70" spans="2:17" x14ac:dyDescent="0.25">
      <c r="B70" s="9" t="s">
        <v>16</v>
      </c>
      <c r="C70" s="9" t="s">
        <v>104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</row>
    <row r="71" spans="2:17" x14ac:dyDescent="0.25">
      <c r="B71" s="9" t="s">
        <v>17</v>
      </c>
      <c r="C71" s="9" t="s">
        <v>104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</row>
    <row r="72" spans="2:17" x14ac:dyDescent="0.25">
      <c r="B72" s="9" t="s">
        <v>14</v>
      </c>
      <c r="C72" s="9" t="s">
        <v>104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</row>
    <row r="73" spans="2:17" x14ac:dyDescent="0.25">
      <c r="B73" s="6" t="s">
        <v>20</v>
      </c>
      <c r="C73" s="6">
        <f>SUBTOTAL(109,Table2457937[RESPONSES])</f>
        <v>0</v>
      </c>
      <c r="D73" s="8">
        <f>SUBTOTAL(109,Table2457937[Air quality])</f>
        <v>0</v>
      </c>
      <c r="E73" s="8">
        <f>SUBTOTAL(109,Table2457937[Care responsibilities])</f>
        <v>0</v>
      </c>
      <c r="F73" s="8">
        <f>SUBTOTAL(109,Table2457937[Disability])</f>
        <v>0</v>
      </c>
      <c r="G73" s="8">
        <f>SUBTOTAL(109,Table2457937[Distance/Effort])</f>
        <v>0</v>
      </c>
      <c r="H73" s="8">
        <f>SUBTOTAL(109,Table2457937[Don''t want to])</f>
        <v>0</v>
      </c>
      <c r="I73" s="8">
        <f>SUBTOTAL(109,Table2457937[Need car for work])</f>
        <v>0</v>
      </c>
      <c r="J73" s="8">
        <f>SUBTOTAL(109,Table2457937[Not confident])</f>
        <v>0</v>
      </c>
      <c r="K73" s="8">
        <f>SUBTOTAL(109,Table2457937[Personal safety])</f>
        <v>0</v>
      </c>
      <c r="L73" s="8">
        <f>SUBTOTAL(109,Table2457937[Poor walking routes])</f>
        <v>0</v>
      </c>
      <c r="M73" s="8">
        <f>SUBTOTAL(109,Table2457937[Care responsibilities])</f>
        <v>0</v>
      </c>
      <c r="N73" s="8">
        <f>SUBTOTAL(109,Table2457937[Disability])</f>
        <v>0</v>
      </c>
      <c r="O73" s="8">
        <f>SUBTOTAL(109,Table2457937[Distance/Effort])</f>
        <v>0</v>
      </c>
      <c r="P73" s="8">
        <f>SUBTOTAL(109,Table2457937[Don''t want to])</f>
        <v>0</v>
      </c>
      <c r="Q73" s="8">
        <f>SUBTOTAL(109,Table2457937[Need car for work])</f>
        <v>0</v>
      </c>
    </row>
    <row r="74" spans="2:17" x14ac:dyDescent="0.2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2:17" x14ac:dyDescent="0.25">
      <c r="B75" s="14" t="s">
        <v>0</v>
      </c>
      <c r="C75" s="14" t="s">
        <v>59</v>
      </c>
      <c r="D75" s="14" t="s">
        <v>60</v>
      </c>
    </row>
    <row r="77" spans="2:17" x14ac:dyDescent="0.25">
      <c r="B77" s="27" t="s">
        <v>15</v>
      </c>
      <c r="C77" s="28" t="s">
        <v>103</v>
      </c>
      <c r="D77" s="29" t="s">
        <v>109</v>
      </c>
      <c r="E77" s="29" t="s">
        <v>115</v>
      </c>
      <c r="F77" s="29" t="s">
        <v>5</v>
      </c>
      <c r="G77" s="29" t="s">
        <v>6</v>
      </c>
      <c r="H77" s="29" t="s">
        <v>110</v>
      </c>
      <c r="I77" s="29" t="s">
        <v>111</v>
      </c>
      <c r="J77" s="29" t="s">
        <v>112</v>
      </c>
      <c r="K77" s="29" t="s">
        <v>113</v>
      </c>
      <c r="L77" s="29" t="s">
        <v>108</v>
      </c>
      <c r="M77" s="29" t="s">
        <v>8</v>
      </c>
      <c r="N77" s="29" t="s">
        <v>9</v>
      </c>
      <c r="O77" s="29" t="s">
        <v>114</v>
      </c>
      <c r="P77" s="29" t="s">
        <v>10</v>
      </c>
      <c r="Q77" s="30" t="s">
        <v>11</v>
      </c>
    </row>
    <row r="78" spans="2:17" x14ac:dyDescent="0.25">
      <c r="B78" s="11" t="s">
        <v>61</v>
      </c>
      <c r="C78" s="11" t="s">
        <v>104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</row>
    <row r="79" spans="2:17" x14ac:dyDescent="0.25">
      <c r="B79" s="11" t="s">
        <v>62</v>
      </c>
      <c r="C79" s="11" t="s">
        <v>104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</row>
    <row r="80" spans="2:17" x14ac:dyDescent="0.25">
      <c r="B80" s="11" t="s">
        <v>63</v>
      </c>
      <c r="C80" s="11" t="s">
        <v>104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</row>
    <row r="81" spans="2:17" x14ac:dyDescent="0.25">
      <c r="B81" s="11" t="s">
        <v>37</v>
      </c>
      <c r="C81" s="11" t="s">
        <v>104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</row>
    <row r="82" spans="2:17" x14ac:dyDescent="0.25">
      <c r="B82" s="11" t="s">
        <v>14</v>
      </c>
      <c r="C82" s="11" t="s">
        <v>104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</row>
    <row r="83" spans="2:17" x14ac:dyDescent="0.25">
      <c r="B83" s="6" t="s">
        <v>20</v>
      </c>
      <c r="C83" s="6">
        <f>SUBTOTAL(109,Table245791034[RESPONSES])</f>
        <v>0</v>
      </c>
      <c r="D83" s="8">
        <f>SUBTOTAL(109,Table245791034[Air quality])</f>
        <v>0</v>
      </c>
      <c r="E83" s="8">
        <f>SUBTOTAL(109,Table245791034[Care responsibilities])</f>
        <v>0</v>
      </c>
      <c r="F83" s="8">
        <f>SUBTOTAL(109,Table245791034[Disability])</f>
        <v>0</v>
      </c>
      <c r="G83" s="8">
        <f>SUBTOTAL(109,Table245791034[Distance/Effort])</f>
        <v>0</v>
      </c>
      <c r="H83" s="8">
        <f>SUBTOTAL(109,Table245791034[Don''t want to])</f>
        <v>0</v>
      </c>
      <c r="I83" s="8">
        <f>SUBTOTAL(109,Table245791034[Need car for work])</f>
        <v>0</v>
      </c>
      <c r="J83" s="8">
        <f>SUBTOTAL(109,Table245791034[Not confident])</f>
        <v>0</v>
      </c>
      <c r="K83" s="8">
        <f>SUBTOTAL(109,Table245791034[Personal safety])</f>
        <v>0</v>
      </c>
      <c r="L83" s="8">
        <f>SUBTOTAL(109,Table245791034[Poor walking routes])</f>
        <v>0</v>
      </c>
      <c r="M83" s="8">
        <f>SUBTOTAL(109,Table245791034[Care responsibilities])</f>
        <v>0</v>
      </c>
      <c r="N83" s="8">
        <f>SUBTOTAL(109,Table245791034[Disability])</f>
        <v>0</v>
      </c>
      <c r="O83" s="8">
        <f>SUBTOTAL(109,Table245791034[Distance/Effort])</f>
        <v>0</v>
      </c>
      <c r="P83" s="8">
        <f>SUBTOTAL(109,Table245791034[Don''t want to])</f>
        <v>0</v>
      </c>
      <c r="Q83" s="8">
        <f>SUBTOTAL(109,Table245791034[Need car for work])</f>
        <v>0</v>
      </c>
    </row>
    <row r="85" spans="2:17" x14ac:dyDescent="0.25">
      <c r="B85" s="14" t="s">
        <v>0</v>
      </c>
      <c r="C85" s="14" t="s">
        <v>64</v>
      </c>
      <c r="D85" s="14" t="s">
        <v>65</v>
      </c>
    </row>
    <row r="87" spans="2:17" x14ac:dyDescent="0.25">
      <c r="B87" s="27" t="s">
        <v>15</v>
      </c>
      <c r="C87" s="28" t="s">
        <v>103</v>
      </c>
      <c r="D87" s="29" t="s">
        <v>109</v>
      </c>
      <c r="E87" s="29" t="s">
        <v>115</v>
      </c>
      <c r="F87" s="29" t="s">
        <v>5</v>
      </c>
      <c r="G87" s="29" t="s">
        <v>6</v>
      </c>
      <c r="H87" s="29" t="s">
        <v>110</v>
      </c>
      <c r="I87" s="29" t="s">
        <v>111</v>
      </c>
      <c r="J87" s="29" t="s">
        <v>112</v>
      </c>
      <c r="K87" s="29" t="s">
        <v>113</v>
      </c>
      <c r="L87" s="29" t="s">
        <v>108</v>
      </c>
      <c r="M87" s="29" t="s">
        <v>8</v>
      </c>
      <c r="N87" s="29" t="s">
        <v>9</v>
      </c>
      <c r="O87" s="29" t="s">
        <v>114</v>
      </c>
      <c r="P87" s="29" t="s">
        <v>10</v>
      </c>
      <c r="Q87" s="30" t="s">
        <v>11</v>
      </c>
    </row>
    <row r="88" spans="2:17" x14ac:dyDescent="0.25">
      <c r="B88" s="11" t="s">
        <v>66</v>
      </c>
      <c r="C88" s="11" t="s">
        <v>104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</row>
    <row r="89" spans="2:17" x14ac:dyDescent="0.25">
      <c r="B89" s="11" t="s">
        <v>67</v>
      </c>
      <c r="C89" s="11" t="s">
        <v>104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</row>
    <row r="90" spans="2:17" x14ac:dyDescent="0.25">
      <c r="B90" s="11" t="s">
        <v>68</v>
      </c>
      <c r="C90" s="11" t="s">
        <v>104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</row>
    <row r="91" spans="2:17" x14ac:dyDescent="0.25">
      <c r="B91" s="11" t="s">
        <v>69</v>
      </c>
      <c r="C91" s="11" t="s">
        <v>104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</row>
    <row r="92" spans="2:17" x14ac:dyDescent="0.25">
      <c r="B92" s="11" t="s">
        <v>70</v>
      </c>
      <c r="C92" s="11" t="s">
        <v>104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</row>
    <row r="93" spans="2:17" x14ac:dyDescent="0.25">
      <c r="B93" s="11" t="s">
        <v>71</v>
      </c>
      <c r="C93" s="11" t="s">
        <v>104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</row>
    <row r="94" spans="2:17" x14ac:dyDescent="0.25">
      <c r="B94" s="11" t="s">
        <v>72</v>
      </c>
      <c r="C94" s="11" t="s">
        <v>104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</row>
    <row r="95" spans="2:17" x14ac:dyDescent="0.25">
      <c r="B95" s="11" t="s">
        <v>37</v>
      </c>
      <c r="C95" s="11" t="s">
        <v>104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</row>
    <row r="96" spans="2:17" x14ac:dyDescent="0.25">
      <c r="B96" s="11" t="s">
        <v>14</v>
      </c>
      <c r="C96" s="11" t="s">
        <v>104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</row>
    <row r="97" spans="2:17" x14ac:dyDescent="0.25">
      <c r="B97" s="6" t="s">
        <v>20</v>
      </c>
      <c r="C97" s="6">
        <f>SUBTOTAL(109,Table24579101135[RESPONSES])</f>
        <v>0</v>
      </c>
      <c r="D97" s="8">
        <f>SUBTOTAL(109,Table24579101135[Air quality])</f>
        <v>0</v>
      </c>
      <c r="E97" s="8">
        <f>SUBTOTAL(109,Table24579101135[Care responsibilities])</f>
        <v>0</v>
      </c>
      <c r="F97" s="8">
        <f>SUBTOTAL(109,Table24579101135[Disability])</f>
        <v>0</v>
      </c>
      <c r="G97" s="8">
        <f>SUBTOTAL(109,Table24579101135[Distance/Effort])</f>
        <v>0</v>
      </c>
      <c r="H97" s="8">
        <f>SUBTOTAL(109,Table24579101135[Don''t want to])</f>
        <v>0</v>
      </c>
      <c r="I97" s="8">
        <f>SUBTOTAL(109,Table24579101135[Need car for work])</f>
        <v>0</v>
      </c>
      <c r="J97" s="8">
        <f>SUBTOTAL(109,Table24579101135[Not confident])</f>
        <v>0</v>
      </c>
      <c r="K97" s="8">
        <f>SUBTOTAL(109,Table24579101135[Personal safety])</f>
        <v>0</v>
      </c>
      <c r="L97" s="8">
        <f>SUBTOTAL(109,Table24579101135[Poor walking routes])</f>
        <v>0</v>
      </c>
      <c r="M97" s="8">
        <f>SUBTOTAL(109,Table24579101135[Care responsibilities])</f>
        <v>0</v>
      </c>
      <c r="N97" s="8">
        <f>SUBTOTAL(109,Table24579101135[Disability])</f>
        <v>0</v>
      </c>
      <c r="O97" s="8">
        <f>SUBTOTAL(109,Table24579101135[Distance/Effort])</f>
        <v>0</v>
      </c>
      <c r="P97" s="8">
        <f>SUBTOTAL(109,Table24579101135[Don''t want to])</f>
        <v>0</v>
      </c>
      <c r="Q97" s="8">
        <f>SUBTOTAL(109,Table24579101135[Need car for work])</f>
        <v>0</v>
      </c>
    </row>
    <row r="99" spans="2:17" x14ac:dyDescent="0.25">
      <c r="B99" s="14" t="s">
        <v>0</v>
      </c>
      <c r="C99" s="14" t="s">
        <v>73</v>
      </c>
      <c r="D99" s="14" t="s">
        <v>74</v>
      </c>
    </row>
    <row r="101" spans="2:17" x14ac:dyDescent="0.25">
      <c r="B101" s="27" t="s">
        <v>15</v>
      </c>
      <c r="C101" s="28" t="s">
        <v>103</v>
      </c>
      <c r="D101" s="29" t="s">
        <v>109</v>
      </c>
      <c r="E101" s="29" t="s">
        <v>115</v>
      </c>
      <c r="F101" s="29" t="s">
        <v>5</v>
      </c>
      <c r="G101" s="29" t="s">
        <v>6</v>
      </c>
      <c r="H101" s="29" t="s">
        <v>110</v>
      </c>
      <c r="I101" s="29" t="s">
        <v>111</v>
      </c>
      <c r="J101" s="29" t="s">
        <v>112</v>
      </c>
      <c r="K101" s="29" t="s">
        <v>113</v>
      </c>
      <c r="L101" s="29" t="s">
        <v>108</v>
      </c>
      <c r="M101" s="29" t="s">
        <v>8</v>
      </c>
      <c r="N101" s="29" t="s">
        <v>9</v>
      </c>
      <c r="O101" s="29" t="s">
        <v>114</v>
      </c>
      <c r="P101" s="29" t="s">
        <v>10</v>
      </c>
      <c r="Q101" s="30" t="s">
        <v>11</v>
      </c>
    </row>
    <row r="102" spans="2:17" x14ac:dyDescent="0.25">
      <c r="B102" s="11" t="s">
        <v>16</v>
      </c>
      <c r="C102" s="11" t="s">
        <v>104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</row>
    <row r="103" spans="2:17" x14ac:dyDescent="0.25">
      <c r="B103" s="11" t="s">
        <v>17</v>
      </c>
      <c r="C103" s="11" t="s">
        <v>104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</row>
    <row r="104" spans="2:17" x14ac:dyDescent="0.25">
      <c r="B104" s="11" t="s">
        <v>14</v>
      </c>
      <c r="C104" s="11" t="s">
        <v>104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</row>
    <row r="105" spans="2:17" x14ac:dyDescent="0.25">
      <c r="B105" s="1" t="s">
        <v>20</v>
      </c>
      <c r="C105" s="1">
        <f>SUBTOTAL(109,Table2457910111236[RESPONSES])</f>
        <v>0</v>
      </c>
      <c r="D105" s="7">
        <f>SUBTOTAL(109,Table2457910111236[Air quality])</f>
        <v>0</v>
      </c>
      <c r="E105" s="8">
        <f>SUBTOTAL(109,Table2457910111236[Care responsibilities])</f>
        <v>0</v>
      </c>
      <c r="F105" s="8">
        <f>SUBTOTAL(109,Table2457910111236[Disability])</f>
        <v>0</v>
      </c>
      <c r="G105" s="8">
        <f>SUBTOTAL(109,Table2457910111236[Distance/Effort])</f>
        <v>0</v>
      </c>
      <c r="H105" s="8">
        <f>SUBTOTAL(109,Table2457910111236[Don''t want to])</f>
        <v>0</v>
      </c>
      <c r="I105" s="8">
        <f>SUBTOTAL(109,Table2457910111236[Need car for work])</f>
        <v>0</v>
      </c>
      <c r="J105" s="8">
        <f>SUBTOTAL(109,Table2457910111236[Not confident])</f>
        <v>0</v>
      </c>
      <c r="K105" s="8">
        <f>SUBTOTAL(109,Table2457910111236[Personal safety])</f>
        <v>0</v>
      </c>
      <c r="L105" s="8">
        <f>SUBTOTAL(109,Table2457910111236[Poor walking routes])</f>
        <v>0</v>
      </c>
      <c r="M105" s="8">
        <f>SUBTOTAL(109,Table2457910111236[Care responsibilities])</f>
        <v>0</v>
      </c>
      <c r="N105" s="8">
        <f>SUBTOTAL(109,Table2457910111236[Disability])</f>
        <v>0</v>
      </c>
      <c r="O105" s="8">
        <f>SUBTOTAL(109,Table2457910111236[Distance/Effort])</f>
        <v>0</v>
      </c>
      <c r="P105" s="8">
        <f>SUBTOTAL(109,Table2457910111236[Don''t want to])</f>
        <v>0</v>
      </c>
      <c r="Q105" s="8">
        <f>SUBTOTAL(109,Table2457910111236[Need car for work])</f>
        <v>0</v>
      </c>
    </row>
  </sheetData>
  <mergeCells count="6">
    <mergeCell ref="A54:A56"/>
    <mergeCell ref="B2:B3"/>
    <mergeCell ref="A38:A42"/>
    <mergeCell ref="A43:A45"/>
    <mergeCell ref="A46:A49"/>
    <mergeCell ref="A50:A53"/>
  </mergeCells>
  <conditionalFormatting sqref="D8:Q10">
    <cfRule type="colorScale" priority="15">
      <colorScale>
        <cfvo type="min"/>
        <cfvo type="max"/>
        <color rgb="FFFCFCFF"/>
        <color rgb="FFF8696B"/>
      </colorScale>
    </cfRule>
  </conditionalFormatting>
  <conditionalFormatting sqref="D16:Q18">
    <cfRule type="colorScale" priority="8">
      <colorScale>
        <cfvo type="min"/>
        <cfvo type="max"/>
        <color rgb="FFFCFCFF"/>
        <color rgb="FFF8696B"/>
      </colorScale>
    </cfRule>
  </conditionalFormatting>
  <conditionalFormatting sqref="D24:Q32">
    <cfRule type="colorScale" priority="7">
      <colorScale>
        <cfvo type="min"/>
        <cfvo type="max"/>
        <color rgb="FFFCFCFF"/>
        <color rgb="FFF8696B"/>
      </colorScale>
    </cfRule>
  </conditionalFormatting>
  <conditionalFormatting sqref="D38:Q56">
    <cfRule type="colorScale" priority="6">
      <colorScale>
        <cfvo type="min"/>
        <cfvo type="max"/>
        <color rgb="FFFCFCFF"/>
        <color rgb="FFF8696B"/>
      </colorScale>
    </cfRule>
  </conditionalFormatting>
  <conditionalFormatting sqref="D62:Q64">
    <cfRule type="colorScale" priority="5">
      <colorScale>
        <cfvo type="min"/>
        <cfvo type="max"/>
        <color rgb="FFFCFCFF"/>
        <color rgb="FFF8696B"/>
      </colorScale>
    </cfRule>
  </conditionalFormatting>
  <conditionalFormatting sqref="D78:Q82">
    <cfRule type="colorScale" priority="4">
      <colorScale>
        <cfvo type="min"/>
        <cfvo type="max"/>
        <color rgb="FFFCFCFF"/>
        <color rgb="FFF8696B"/>
      </colorScale>
    </cfRule>
  </conditionalFormatting>
  <conditionalFormatting sqref="D88:Q96">
    <cfRule type="colorScale" priority="3">
      <colorScale>
        <cfvo type="min"/>
        <cfvo type="max"/>
        <color rgb="FFFCFCFF"/>
        <color rgb="FFF8696B"/>
      </colorScale>
    </cfRule>
  </conditionalFormatting>
  <conditionalFormatting sqref="D102:Q104">
    <cfRule type="colorScale" priority="2">
      <colorScale>
        <cfvo type="min"/>
        <cfvo type="max"/>
        <color rgb="FFFCFCFF"/>
        <color rgb="FFF8696B"/>
      </colorScale>
    </cfRule>
  </conditionalFormatting>
  <conditionalFormatting sqref="D70:Q72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portrait" verticalDpi="0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W105"/>
  <sheetViews>
    <sheetView zoomScale="85" zoomScaleNormal="85" workbookViewId="0">
      <selection activeCell="B8" sqref="B8"/>
    </sheetView>
  </sheetViews>
  <sheetFormatPr defaultRowHeight="15" x14ac:dyDescent="0.25"/>
  <cols>
    <col min="1" max="1" width="3.28515625" customWidth="1"/>
    <col min="2" max="2" width="21.42578125" bestFit="1" customWidth="1"/>
    <col min="3" max="23" width="13.7109375" customWidth="1"/>
  </cols>
  <sheetData>
    <row r="1" spans="2:23" ht="18.75" x14ac:dyDescent="0.3">
      <c r="B1" s="38" t="s">
        <v>138</v>
      </c>
    </row>
    <row r="2" spans="2:23" x14ac:dyDescent="0.25">
      <c r="B2" s="63" t="s">
        <v>85</v>
      </c>
      <c r="C2" t="s">
        <v>75</v>
      </c>
      <c r="D2" t="s">
        <v>76</v>
      </c>
    </row>
    <row r="3" spans="2:23" x14ac:dyDescent="0.25">
      <c r="B3" s="63"/>
      <c r="C3" t="s">
        <v>79</v>
      </c>
      <c r="D3" t="s">
        <v>80</v>
      </c>
    </row>
    <row r="4" spans="2:23" x14ac:dyDescent="0.25">
      <c r="B4" s="12"/>
    </row>
    <row r="5" spans="2:23" x14ac:dyDescent="0.25">
      <c r="B5" s="14" t="s">
        <v>0</v>
      </c>
      <c r="C5" s="14" t="s">
        <v>1</v>
      </c>
      <c r="D5" s="14" t="s">
        <v>2</v>
      </c>
    </row>
    <row r="7" spans="2:23" s="31" customFormat="1" x14ac:dyDescent="0.25">
      <c r="B7" s="3" t="s">
        <v>15</v>
      </c>
      <c r="C7" s="18" t="s">
        <v>103</v>
      </c>
      <c r="D7" s="33" t="s">
        <v>109</v>
      </c>
      <c r="E7" s="34" t="s">
        <v>115</v>
      </c>
      <c r="F7" s="33" t="s">
        <v>116</v>
      </c>
      <c r="G7" s="33" t="s">
        <v>5</v>
      </c>
      <c r="H7" s="33" t="s">
        <v>117</v>
      </c>
      <c r="I7" s="33" t="s">
        <v>118</v>
      </c>
      <c r="J7" s="33" t="s">
        <v>110</v>
      </c>
      <c r="K7" s="33" t="s">
        <v>119</v>
      </c>
      <c r="L7" s="33" t="s">
        <v>120</v>
      </c>
      <c r="M7" s="33" t="s">
        <v>121</v>
      </c>
      <c r="N7" s="33" t="s">
        <v>122</v>
      </c>
      <c r="O7" s="33" t="s">
        <v>111</v>
      </c>
      <c r="P7" s="33" t="s">
        <v>112</v>
      </c>
      <c r="Q7" s="33" t="s">
        <v>113</v>
      </c>
      <c r="R7" s="34" t="s">
        <v>123</v>
      </c>
      <c r="S7" s="34" t="s">
        <v>124</v>
      </c>
      <c r="T7" s="34" t="s">
        <v>125</v>
      </c>
      <c r="U7" s="35" t="s">
        <v>114</v>
      </c>
      <c r="V7" s="34" t="s">
        <v>10</v>
      </c>
      <c r="W7" s="34" t="s">
        <v>11</v>
      </c>
    </row>
    <row r="8" spans="2:23" x14ac:dyDescent="0.25">
      <c r="B8" s="2" t="s">
        <v>12</v>
      </c>
      <c r="C8" s="2" t="s">
        <v>104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</row>
    <row r="9" spans="2:23" x14ac:dyDescent="0.25">
      <c r="B9" s="2" t="s">
        <v>13</v>
      </c>
      <c r="C9" s="2" t="s">
        <v>104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</row>
    <row r="10" spans="2:23" x14ac:dyDescent="0.25">
      <c r="B10" s="4" t="s">
        <v>14</v>
      </c>
      <c r="C10" s="4" t="s">
        <v>104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</row>
    <row r="11" spans="2:23" x14ac:dyDescent="0.25">
      <c r="B11" s="4" t="s">
        <v>20</v>
      </c>
      <c r="C11" s="4">
        <f>SUBTOTAL(109,Table28256[RESPONSES])</f>
        <v>0</v>
      </c>
      <c r="D11" s="5">
        <f>SUBTOTAL(109,Table28256[Air quality])</f>
        <v>0</v>
      </c>
      <c r="E11" s="5">
        <f>SUBTOTAL(109,Table28256[Care responsibilities])</f>
        <v>0</v>
      </c>
      <c r="F11" s="5">
        <f>SUBTOTAL(109,Table28256[Costs])</f>
        <v>0</v>
      </c>
      <c r="G11" s="5">
        <f>SUBTOTAL(109,Table28256[Disability])</f>
        <v>0</v>
      </c>
      <c r="H11" s="5">
        <f>SUBTOTAL(109,Table28256[Distance/effort])</f>
        <v>0</v>
      </c>
      <c r="I11" s="5">
        <f>SUBTOTAL(109,Table28256[Don''t own bike])</f>
        <v>0</v>
      </c>
      <c r="J11" s="5">
        <f>SUBTOTAL(109,Table28256[Don''t want to])</f>
        <v>0</v>
      </c>
      <c r="K11" s="5">
        <f>SUBTOTAL(109,Table28256[Fear of theft/vandalism])</f>
        <v>0</v>
      </c>
      <c r="L11" s="5">
        <f>SUBTOTAL(109,Table28256[Friends/family don''t cycle])</f>
        <v>0</v>
      </c>
      <c r="M11" s="5">
        <f>SUBTOTAL(109,Table28256[Lack of cycle hire])</f>
        <v>0</v>
      </c>
      <c r="N11" s="5">
        <f>SUBTOTAL(109,Table28256[Lack of cycle parking])</f>
        <v>0</v>
      </c>
      <c r="O11" s="5">
        <f>SUBTOTAL(109,Table28256[Need car for work])</f>
        <v>0</v>
      </c>
      <c r="P11" s="5">
        <f>SUBTOTAL(109,Table28256[Not confident])</f>
        <v>0</v>
      </c>
      <c r="Q11" s="5">
        <f>SUBTOTAL(109,Table28256[Personal safety])</f>
        <v>0</v>
      </c>
      <c r="R11" s="5">
        <f>SUBTOTAL(109,Table28256[Poor cycle routes])</f>
        <v>0</v>
      </c>
      <c r="S11" s="5">
        <f>SUBTOTAL(109,Table28256[Road safety/traffic])</f>
        <v>0</v>
      </c>
      <c r="T11" s="5">
        <f>SUBTOTAL(109,Table28256[Weather/terrain])</f>
        <v>0</v>
      </c>
      <c r="U11" s="5">
        <f>SUBTOTAL(109,Table28256[Work from home])</f>
        <v>0</v>
      </c>
      <c r="V11" s="5">
        <f>SUBTOTAL(109,Table28256[N/A])</f>
        <v>0</v>
      </c>
      <c r="W11" s="5">
        <f>SUBTOTAL(109,Table28256[Other (specify)])</f>
        <v>0</v>
      </c>
    </row>
    <row r="13" spans="2:23" x14ac:dyDescent="0.25">
      <c r="B13" s="14" t="s">
        <v>0</v>
      </c>
      <c r="C13" s="14" t="s">
        <v>18</v>
      </c>
      <c r="D13" s="14" t="s">
        <v>19</v>
      </c>
    </row>
    <row r="15" spans="2:23" x14ac:dyDescent="0.25">
      <c r="B15" s="3" t="s">
        <v>15</v>
      </c>
      <c r="C15" s="18" t="s">
        <v>103</v>
      </c>
      <c r="D15" s="33" t="s">
        <v>109</v>
      </c>
      <c r="E15" s="34" t="s">
        <v>115</v>
      </c>
      <c r="F15" s="33" t="s">
        <v>116</v>
      </c>
      <c r="G15" s="33" t="s">
        <v>5</v>
      </c>
      <c r="H15" s="33" t="s">
        <v>117</v>
      </c>
      <c r="I15" s="33" t="s">
        <v>118</v>
      </c>
      <c r="J15" s="33" t="s">
        <v>110</v>
      </c>
      <c r="K15" s="33" t="s">
        <v>119</v>
      </c>
      <c r="L15" s="33" t="s">
        <v>120</v>
      </c>
      <c r="M15" s="33" t="s">
        <v>121</v>
      </c>
      <c r="N15" s="33" t="s">
        <v>122</v>
      </c>
      <c r="O15" s="33" t="s">
        <v>111</v>
      </c>
      <c r="P15" s="33" t="s">
        <v>112</v>
      </c>
      <c r="Q15" s="33" t="s">
        <v>113</v>
      </c>
      <c r="R15" s="34" t="s">
        <v>123</v>
      </c>
      <c r="S15" s="34" t="s">
        <v>124</v>
      </c>
      <c r="T15" s="34" t="s">
        <v>125</v>
      </c>
      <c r="U15" s="36" t="s">
        <v>114</v>
      </c>
      <c r="V15" s="34" t="s">
        <v>10</v>
      </c>
      <c r="W15" s="34" t="s">
        <v>11</v>
      </c>
    </row>
    <row r="16" spans="2:23" x14ac:dyDescent="0.25">
      <c r="B16" s="2" t="s">
        <v>16</v>
      </c>
      <c r="C16" s="2" t="s">
        <v>104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</row>
    <row r="17" spans="2:23" x14ac:dyDescent="0.25">
      <c r="B17" s="2" t="s">
        <v>17</v>
      </c>
      <c r="C17" s="2" t="s">
        <v>104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</row>
    <row r="18" spans="2:23" x14ac:dyDescent="0.25">
      <c r="B18" s="4" t="s">
        <v>14</v>
      </c>
      <c r="C18" s="4" t="s">
        <v>104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</row>
    <row r="19" spans="2:23" x14ac:dyDescent="0.25">
      <c r="B19" s="7" t="s">
        <v>20</v>
      </c>
      <c r="C19" s="7">
        <f>SUBTOTAL(109,Table241357[RESPONSES])</f>
        <v>0</v>
      </c>
      <c r="D19" s="8">
        <f>SUBTOTAL(109,Table241357[Air quality])</f>
        <v>0</v>
      </c>
      <c r="E19" s="8">
        <f>SUBTOTAL(109,Table241357[Care responsibilities])</f>
        <v>0</v>
      </c>
      <c r="F19" s="8">
        <f>SUBTOTAL(109,Table241357[Costs])</f>
        <v>0</v>
      </c>
      <c r="G19" s="8">
        <f>SUBTOTAL(109,Table241357[Disability])</f>
        <v>0</v>
      </c>
      <c r="H19" s="8">
        <f>SUBTOTAL(109,Table241357[Distance/effort])</f>
        <v>0</v>
      </c>
      <c r="I19" s="8">
        <f>SUBTOTAL(109,Table241357[Don''t own bike])</f>
        <v>0</v>
      </c>
      <c r="J19" s="8">
        <f>SUBTOTAL(109,Table241357[Don''t want to])</f>
        <v>0</v>
      </c>
      <c r="K19" s="8">
        <f>SUBTOTAL(109,Table241357[Fear of theft/vandalism])</f>
        <v>0</v>
      </c>
      <c r="L19" s="8">
        <f>SUBTOTAL(109,Table241357[Friends/family don''t cycle])</f>
        <v>0</v>
      </c>
      <c r="M19" s="8">
        <f>SUBTOTAL(109,Table241357[Care responsibilities])</f>
        <v>0</v>
      </c>
      <c r="N19" s="8">
        <f>SUBTOTAL(109,Table241357[Costs])</f>
        <v>0</v>
      </c>
      <c r="O19" s="8">
        <f>SUBTOTAL(109,Table241357[Disability])</f>
        <v>0</v>
      </c>
      <c r="P19" s="8">
        <f>SUBTOTAL(109,Table241357[Distance/effort])</f>
        <v>0</v>
      </c>
      <c r="Q19" s="8">
        <f>SUBTOTAL(109,Table241357[Don''t own bike])</f>
        <v>0</v>
      </c>
      <c r="R19" s="8">
        <f>SUBTOTAL(109,Table241357[Don''t want to])</f>
        <v>0</v>
      </c>
      <c r="S19" s="8">
        <f>SUBTOTAL(109,Table241357[Fear of theft/vandalism])</f>
        <v>0</v>
      </c>
      <c r="T19" s="8">
        <f>SUBTOTAL(109,Table241357[Friends/family don''t cycle])</f>
        <v>0</v>
      </c>
      <c r="U19" s="8">
        <f>SUBTOTAL(109,Table241357[Lack of cycle hire])</f>
        <v>0</v>
      </c>
      <c r="V19" s="8">
        <f>SUBTOTAL(109,Table241357[Lack of cycle parking])</f>
        <v>0</v>
      </c>
      <c r="W19" s="8">
        <f>SUBTOTAL(109,Table241357[Need car for work])</f>
        <v>0</v>
      </c>
    </row>
    <row r="21" spans="2:23" x14ac:dyDescent="0.25">
      <c r="B21" s="14" t="s">
        <v>0</v>
      </c>
      <c r="C21" s="14" t="s">
        <v>21</v>
      </c>
      <c r="D21" s="14" t="s">
        <v>22</v>
      </c>
    </row>
    <row r="23" spans="2:23" x14ac:dyDescent="0.25">
      <c r="B23" s="3" t="s">
        <v>15</v>
      </c>
      <c r="C23" s="18" t="s">
        <v>103</v>
      </c>
      <c r="D23" s="33" t="s">
        <v>109</v>
      </c>
      <c r="E23" s="34" t="s">
        <v>115</v>
      </c>
      <c r="F23" s="33" t="s">
        <v>116</v>
      </c>
      <c r="G23" s="33" t="s">
        <v>5</v>
      </c>
      <c r="H23" s="33" t="s">
        <v>117</v>
      </c>
      <c r="I23" s="33" t="s">
        <v>118</v>
      </c>
      <c r="J23" s="33" t="s">
        <v>110</v>
      </c>
      <c r="K23" s="33" t="s">
        <v>119</v>
      </c>
      <c r="L23" s="33" t="s">
        <v>120</v>
      </c>
      <c r="M23" s="33" t="s">
        <v>121</v>
      </c>
      <c r="N23" s="33" t="s">
        <v>122</v>
      </c>
      <c r="O23" s="33" t="s">
        <v>111</v>
      </c>
      <c r="P23" s="33" t="s">
        <v>112</v>
      </c>
      <c r="Q23" s="33" t="s">
        <v>113</v>
      </c>
      <c r="R23" s="34" t="s">
        <v>123</v>
      </c>
      <c r="S23" s="34" t="s">
        <v>124</v>
      </c>
      <c r="T23" s="34" t="s">
        <v>125</v>
      </c>
      <c r="U23" s="36" t="s">
        <v>114</v>
      </c>
      <c r="V23" s="34" t="s">
        <v>10</v>
      </c>
      <c r="W23" s="34" t="s">
        <v>11</v>
      </c>
    </row>
    <row r="24" spans="2:23" x14ac:dyDescent="0.25">
      <c r="B24" s="9" t="s">
        <v>23</v>
      </c>
      <c r="C24" s="9" t="s">
        <v>104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</row>
    <row r="25" spans="2:23" x14ac:dyDescent="0.25">
      <c r="B25" s="9" t="s">
        <v>24</v>
      </c>
      <c r="C25" s="9" t="s">
        <v>104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</row>
    <row r="26" spans="2:23" x14ac:dyDescent="0.25">
      <c r="B26" s="9" t="s">
        <v>25</v>
      </c>
      <c r="C26" s="9" t="s">
        <v>104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</row>
    <row r="27" spans="2:23" x14ac:dyDescent="0.25">
      <c r="B27" s="9" t="s">
        <v>26</v>
      </c>
      <c r="C27" s="9" t="s">
        <v>104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</row>
    <row r="28" spans="2:23" x14ac:dyDescent="0.25">
      <c r="B28" s="9" t="s">
        <v>27</v>
      </c>
      <c r="C28" s="9" t="s">
        <v>104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</row>
    <row r="29" spans="2:23" x14ac:dyDescent="0.25">
      <c r="B29" s="9" t="s">
        <v>28</v>
      </c>
      <c r="C29" s="9" t="s">
        <v>104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</row>
    <row r="30" spans="2:23" x14ac:dyDescent="0.25">
      <c r="B30" s="9" t="s">
        <v>29</v>
      </c>
      <c r="C30" s="9" t="s">
        <v>104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</row>
    <row r="31" spans="2:23" x14ac:dyDescent="0.25">
      <c r="B31" s="9" t="s">
        <v>30</v>
      </c>
      <c r="C31" s="9" t="s">
        <v>104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</row>
    <row r="32" spans="2:23" x14ac:dyDescent="0.25">
      <c r="B32" s="9" t="s">
        <v>14</v>
      </c>
      <c r="C32" s="9" t="s">
        <v>104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</row>
    <row r="33" spans="1:23" x14ac:dyDescent="0.25">
      <c r="B33" s="6" t="s">
        <v>20</v>
      </c>
      <c r="C33" s="6">
        <f>SUBTOTAL(109,Table2451458[RESPONSES])</f>
        <v>0</v>
      </c>
      <c r="D33" s="8">
        <f>SUBTOTAL(109,Table2451458[Air quality])</f>
        <v>0</v>
      </c>
      <c r="E33" s="8">
        <f>SUBTOTAL(109,Table2451458[Care responsibilities])</f>
        <v>0</v>
      </c>
      <c r="F33" s="8">
        <f>SUBTOTAL(109,Table2451458[Costs])</f>
        <v>0</v>
      </c>
      <c r="G33" s="8">
        <f>SUBTOTAL(109,Table2451458[Disability])</f>
        <v>0</v>
      </c>
      <c r="H33" s="8">
        <f>SUBTOTAL(109,Table2451458[Distance/effort])</f>
        <v>0</v>
      </c>
      <c r="I33" s="8">
        <f>SUBTOTAL(109,Table2451458[Don''t own bike])</f>
        <v>0</v>
      </c>
      <c r="J33" s="8">
        <f>SUBTOTAL(109,Table2451458[Don''t want to])</f>
        <v>0</v>
      </c>
      <c r="K33" s="8">
        <f>SUBTOTAL(109,Table2451458[Fear of theft/vandalism])</f>
        <v>0</v>
      </c>
      <c r="L33" s="8">
        <f>SUBTOTAL(109,Table2451458[Friends/family don''t cycle])</f>
        <v>0</v>
      </c>
      <c r="M33" s="8">
        <f>SUBTOTAL(109,Table2451458[Care responsibilities])</f>
        <v>0</v>
      </c>
      <c r="N33" s="8">
        <f>SUBTOTAL(109,Table2451458[Costs])</f>
        <v>0</v>
      </c>
      <c r="O33" s="8">
        <f>SUBTOTAL(109,Table2451458[Disability])</f>
        <v>0</v>
      </c>
      <c r="P33" s="8">
        <f>SUBTOTAL(109,Table2451458[Distance/effort])</f>
        <v>0</v>
      </c>
      <c r="Q33" s="8">
        <f>SUBTOTAL(109,Table2451458[Don''t own bike])</f>
        <v>0</v>
      </c>
      <c r="R33" s="8">
        <f>SUBTOTAL(109,Table2451458[Don''t want to])</f>
        <v>0</v>
      </c>
      <c r="S33" s="8">
        <f>SUBTOTAL(109,Table2451458[Fear of theft/vandalism])</f>
        <v>0</v>
      </c>
      <c r="T33" s="8">
        <f>SUBTOTAL(109,Table2451458[Friends/family don''t cycle])</f>
        <v>0</v>
      </c>
      <c r="U33" s="8">
        <f>SUBTOTAL(109,Table2451458[Lack of cycle hire])</f>
        <v>0</v>
      </c>
      <c r="V33" s="8">
        <f>SUBTOTAL(109,Table2451458[Lack of cycle parking])</f>
        <v>0</v>
      </c>
      <c r="W33" s="8">
        <f>SUBTOTAL(109,Table2451458[Need car for work])</f>
        <v>0</v>
      </c>
    </row>
    <row r="35" spans="1:23" x14ac:dyDescent="0.25">
      <c r="B35" s="14" t="s">
        <v>0</v>
      </c>
      <c r="C35" s="14" t="s">
        <v>31</v>
      </c>
      <c r="D35" s="14" t="s">
        <v>32</v>
      </c>
    </row>
    <row r="37" spans="1:23" x14ac:dyDescent="0.25">
      <c r="A37" s="31"/>
      <c r="B37" s="3" t="s">
        <v>15</v>
      </c>
      <c r="C37" s="18" t="s">
        <v>103</v>
      </c>
      <c r="D37" s="33" t="s">
        <v>109</v>
      </c>
      <c r="E37" s="34" t="s">
        <v>115</v>
      </c>
      <c r="F37" s="33" t="s">
        <v>116</v>
      </c>
      <c r="G37" s="33" t="s">
        <v>5</v>
      </c>
      <c r="H37" s="33" t="s">
        <v>117</v>
      </c>
      <c r="I37" s="33" t="s">
        <v>118</v>
      </c>
      <c r="J37" s="33" t="s">
        <v>110</v>
      </c>
      <c r="K37" s="33" t="s">
        <v>119</v>
      </c>
      <c r="L37" s="33" t="s">
        <v>120</v>
      </c>
      <c r="M37" s="33" t="s">
        <v>121</v>
      </c>
      <c r="N37" s="33" t="s">
        <v>122</v>
      </c>
      <c r="O37" s="33" t="s">
        <v>111</v>
      </c>
      <c r="P37" s="33" t="s">
        <v>112</v>
      </c>
      <c r="Q37" s="33" t="s">
        <v>113</v>
      </c>
      <c r="R37" s="34" t="s">
        <v>123</v>
      </c>
      <c r="S37" s="34" t="s">
        <v>124</v>
      </c>
      <c r="T37" s="34" t="s">
        <v>125</v>
      </c>
      <c r="U37" s="36" t="s">
        <v>114</v>
      </c>
      <c r="V37" s="34" t="s">
        <v>10</v>
      </c>
      <c r="W37" s="34" t="s">
        <v>11</v>
      </c>
    </row>
    <row r="38" spans="1:23" x14ac:dyDescent="0.25">
      <c r="A38" s="64" t="s">
        <v>51</v>
      </c>
      <c r="B38" s="10" t="s">
        <v>33</v>
      </c>
      <c r="C38" s="11" t="s">
        <v>104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</row>
    <row r="39" spans="1:23" x14ac:dyDescent="0.25">
      <c r="A39" s="64"/>
      <c r="B39" s="10" t="s">
        <v>34</v>
      </c>
      <c r="C39" s="11" t="s">
        <v>104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</row>
    <row r="40" spans="1:23" x14ac:dyDescent="0.25">
      <c r="A40" s="64"/>
      <c r="B40" s="10" t="s">
        <v>35</v>
      </c>
      <c r="C40" s="11" t="s">
        <v>104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</row>
    <row r="41" spans="1:23" x14ac:dyDescent="0.25">
      <c r="A41" s="64"/>
      <c r="B41" s="10" t="s">
        <v>36</v>
      </c>
      <c r="C41" s="11" t="s">
        <v>104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</row>
    <row r="42" spans="1:23" x14ac:dyDescent="0.25">
      <c r="A42" s="64"/>
      <c r="B42" s="10" t="s">
        <v>37</v>
      </c>
      <c r="C42" s="11" t="s">
        <v>104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</row>
    <row r="43" spans="1:23" x14ac:dyDescent="0.25">
      <c r="A43" s="64" t="s">
        <v>52</v>
      </c>
      <c r="B43" s="10" t="s">
        <v>38</v>
      </c>
      <c r="C43" s="11" t="s">
        <v>104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</row>
    <row r="44" spans="1:23" x14ac:dyDescent="0.25">
      <c r="A44" s="64"/>
      <c r="B44" s="10" t="s">
        <v>39</v>
      </c>
      <c r="C44" s="11" t="s">
        <v>104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</row>
    <row r="45" spans="1:23" x14ac:dyDescent="0.25">
      <c r="A45" s="64"/>
      <c r="B45" s="10" t="s">
        <v>40</v>
      </c>
      <c r="C45" s="11" t="s">
        <v>104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</row>
    <row r="46" spans="1:23" x14ac:dyDescent="0.25">
      <c r="A46" s="62" t="s">
        <v>53</v>
      </c>
      <c r="B46" s="10" t="s">
        <v>41</v>
      </c>
      <c r="C46" s="11" t="s">
        <v>104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</row>
    <row r="47" spans="1:23" x14ac:dyDescent="0.25">
      <c r="A47" s="62"/>
      <c r="B47" s="10" t="s">
        <v>42</v>
      </c>
      <c r="C47" s="11" t="s">
        <v>104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</row>
    <row r="48" spans="1:23" x14ac:dyDescent="0.25">
      <c r="A48" s="62"/>
      <c r="B48" s="10" t="s">
        <v>43</v>
      </c>
      <c r="C48" s="11" t="s">
        <v>104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</row>
    <row r="49" spans="1:23" x14ac:dyDescent="0.25">
      <c r="A49" s="62"/>
      <c r="B49" s="10" t="s">
        <v>44</v>
      </c>
      <c r="C49" s="11" t="s">
        <v>104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</row>
    <row r="50" spans="1:23" x14ac:dyDescent="0.25">
      <c r="A50" s="62" t="s">
        <v>54</v>
      </c>
      <c r="B50" s="10" t="s">
        <v>45</v>
      </c>
      <c r="C50" s="11" t="s">
        <v>104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</row>
    <row r="51" spans="1:23" x14ac:dyDescent="0.25">
      <c r="A51" s="62"/>
      <c r="B51" s="10" t="s">
        <v>46</v>
      </c>
      <c r="C51" s="11" t="s">
        <v>104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</row>
    <row r="52" spans="1:23" x14ac:dyDescent="0.25">
      <c r="A52" s="62"/>
      <c r="B52" s="10" t="s">
        <v>47</v>
      </c>
      <c r="C52" s="11" t="s">
        <v>104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</row>
    <row r="53" spans="1:23" x14ac:dyDescent="0.25">
      <c r="A53" s="62"/>
      <c r="B53" s="10" t="s">
        <v>48</v>
      </c>
      <c r="C53" s="11" t="s">
        <v>104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</row>
    <row r="54" spans="1:23" x14ac:dyDescent="0.25">
      <c r="A54" s="62" t="s">
        <v>37</v>
      </c>
      <c r="B54" s="10" t="s">
        <v>49</v>
      </c>
      <c r="C54" s="11" t="s">
        <v>104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</row>
    <row r="55" spans="1:23" x14ac:dyDescent="0.25">
      <c r="A55" s="62"/>
      <c r="B55" s="10" t="s">
        <v>50</v>
      </c>
      <c r="C55" s="11" t="s">
        <v>104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</row>
    <row r="56" spans="1:23" x14ac:dyDescent="0.25">
      <c r="A56" s="62"/>
      <c r="B56" s="10" t="s">
        <v>14</v>
      </c>
      <c r="C56" s="11" t="s">
        <v>104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</row>
    <row r="57" spans="1:23" x14ac:dyDescent="0.25">
      <c r="B57" s="6" t="s">
        <v>20</v>
      </c>
      <c r="C57" s="6">
        <f>SUBTOTAL(109,Table24562359[RESPONSES])</f>
        <v>0</v>
      </c>
      <c r="D57" s="8">
        <f>SUBTOTAL(109,Table24562359[Air quality])</f>
        <v>0</v>
      </c>
      <c r="E57" s="8">
        <f>SUBTOTAL(109,Table24562359[Care responsibilities])</f>
        <v>0</v>
      </c>
      <c r="F57" s="8">
        <f>SUBTOTAL(109,Table24562359[Costs])</f>
        <v>0</v>
      </c>
      <c r="G57" s="8">
        <f>SUBTOTAL(109,Table24562359[Disability])</f>
        <v>0</v>
      </c>
      <c r="H57" s="8">
        <f>SUBTOTAL(109,Table24562359[Distance/effort])</f>
        <v>0</v>
      </c>
      <c r="I57" s="8">
        <f>SUBTOTAL(109,Table24562359[Don''t own bike])</f>
        <v>0</v>
      </c>
      <c r="J57" s="8">
        <f>SUBTOTAL(109,Table24562359[Don''t want to])</f>
        <v>0</v>
      </c>
      <c r="K57" s="8">
        <f>SUBTOTAL(109,Table24562359[Fear of theft/vandalism])</f>
        <v>0</v>
      </c>
      <c r="L57" s="8">
        <f>SUBTOTAL(109,Table24562359[Friends/family don''t cycle])</f>
        <v>0</v>
      </c>
      <c r="M57" s="8">
        <f>SUBTOTAL(109,Table24562359[Lack of cycle hire])</f>
        <v>0</v>
      </c>
      <c r="N57" s="8">
        <f>SUBTOTAL(109,Table24562359[Lack of cycle parking])</f>
        <v>0</v>
      </c>
      <c r="O57" s="8">
        <f>SUBTOTAL(109,Table24562359[Need car for work])</f>
        <v>0</v>
      </c>
      <c r="P57" s="8">
        <f>SUBTOTAL(109,Table24562359[Not confident])</f>
        <v>0</v>
      </c>
      <c r="Q57" s="8">
        <f>SUBTOTAL(109,Table24562359[Personal safety])</f>
        <v>0</v>
      </c>
      <c r="R57" s="8">
        <f>SUBTOTAL(109,Table24562359[Poor cycle routes])</f>
        <v>0</v>
      </c>
      <c r="S57" s="8">
        <f>SUBTOTAL(109,Table24562359[Road safety/traffic])</f>
        <v>0</v>
      </c>
      <c r="T57" s="8">
        <f>SUBTOTAL(109,Table24562359[Weather/terrain])</f>
        <v>0</v>
      </c>
      <c r="U57" s="8">
        <f>SUBTOTAL(109,Table24562359[Work from home])</f>
        <v>0</v>
      </c>
      <c r="V57" s="8">
        <f>SUBTOTAL(109,Table24562359[N/A])</f>
        <v>0</v>
      </c>
      <c r="W57" s="8">
        <f>SUBTOTAL(109,Table24562359[Other (specify)])</f>
        <v>0</v>
      </c>
    </row>
    <row r="59" spans="1:23" x14ac:dyDescent="0.25">
      <c r="B59" s="14" t="s">
        <v>0</v>
      </c>
      <c r="C59" s="14" t="s">
        <v>55</v>
      </c>
      <c r="D59" s="14" t="s">
        <v>56</v>
      </c>
    </row>
    <row r="61" spans="1:23" x14ac:dyDescent="0.25">
      <c r="B61" s="3" t="s">
        <v>15</v>
      </c>
      <c r="C61" s="18" t="s">
        <v>103</v>
      </c>
      <c r="D61" s="33" t="s">
        <v>109</v>
      </c>
      <c r="E61" s="34" t="s">
        <v>115</v>
      </c>
      <c r="F61" s="33" t="s">
        <v>116</v>
      </c>
      <c r="G61" s="33" t="s">
        <v>5</v>
      </c>
      <c r="H61" s="33" t="s">
        <v>117</v>
      </c>
      <c r="I61" s="33" t="s">
        <v>118</v>
      </c>
      <c r="J61" s="33" t="s">
        <v>110</v>
      </c>
      <c r="K61" s="33" t="s">
        <v>119</v>
      </c>
      <c r="L61" s="33" t="s">
        <v>120</v>
      </c>
      <c r="M61" s="33" t="s">
        <v>121</v>
      </c>
      <c r="N61" s="33" t="s">
        <v>122</v>
      </c>
      <c r="O61" s="33" t="s">
        <v>111</v>
      </c>
      <c r="P61" s="33" t="s">
        <v>112</v>
      </c>
      <c r="Q61" s="33" t="s">
        <v>113</v>
      </c>
      <c r="R61" s="34" t="s">
        <v>123</v>
      </c>
      <c r="S61" s="34" t="s">
        <v>124</v>
      </c>
      <c r="T61" s="34" t="s">
        <v>125</v>
      </c>
      <c r="U61" s="36" t="s">
        <v>114</v>
      </c>
      <c r="V61" s="34" t="s">
        <v>10</v>
      </c>
      <c r="W61" s="34" t="s">
        <v>11</v>
      </c>
    </row>
    <row r="62" spans="1:23" x14ac:dyDescent="0.25">
      <c r="B62" s="9" t="s">
        <v>16</v>
      </c>
      <c r="C62" s="9" t="s">
        <v>104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</row>
    <row r="63" spans="1:23" x14ac:dyDescent="0.25">
      <c r="B63" s="9" t="s">
        <v>17</v>
      </c>
      <c r="C63" s="9" t="s">
        <v>104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</row>
    <row r="64" spans="1:23" x14ac:dyDescent="0.25">
      <c r="B64" s="9" t="s">
        <v>14</v>
      </c>
      <c r="C64" s="9" t="s">
        <v>104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</row>
    <row r="65" spans="2:23" x14ac:dyDescent="0.25">
      <c r="B65" s="6" t="s">
        <v>20</v>
      </c>
      <c r="C65" s="6">
        <f>SUBTOTAL(109,Table24571560[RESPONSES])</f>
        <v>0</v>
      </c>
      <c r="D65" s="8">
        <f>SUBTOTAL(109,Table24571560[Air quality])</f>
        <v>0</v>
      </c>
      <c r="E65" s="8">
        <f>SUBTOTAL(109,Table24571560[Care responsibilities])</f>
        <v>0</v>
      </c>
      <c r="F65" s="8">
        <f>SUBTOTAL(109,Table24571560[Costs])</f>
        <v>0</v>
      </c>
      <c r="G65" s="8">
        <f>SUBTOTAL(109,Table24571560[Disability])</f>
        <v>0</v>
      </c>
      <c r="H65" s="8">
        <f>SUBTOTAL(109,Table24571560[Distance/effort])</f>
        <v>0</v>
      </c>
      <c r="I65" s="8">
        <f>SUBTOTAL(109,Table24571560[Don''t own bike])</f>
        <v>0</v>
      </c>
      <c r="J65" s="8">
        <f>SUBTOTAL(109,Table24571560[Don''t want to])</f>
        <v>0</v>
      </c>
      <c r="K65" s="8">
        <f>SUBTOTAL(109,Table24571560[Fear of theft/vandalism])</f>
        <v>0</v>
      </c>
      <c r="L65" s="8">
        <f>SUBTOTAL(109,Table24571560[Friends/family don''t cycle])</f>
        <v>0</v>
      </c>
      <c r="M65" s="8">
        <f>SUBTOTAL(109,Table24571560[Care responsibilities])</f>
        <v>0</v>
      </c>
      <c r="N65" s="8">
        <f>SUBTOTAL(109,Table24571560[Costs])</f>
        <v>0</v>
      </c>
      <c r="O65" s="8">
        <f>SUBTOTAL(109,Table24571560[Disability])</f>
        <v>0</v>
      </c>
      <c r="P65" s="8">
        <f>SUBTOTAL(109,Table24571560[Distance/effort])</f>
        <v>0</v>
      </c>
      <c r="Q65" s="8">
        <f>SUBTOTAL(109,Table24571560[Don''t own bike])</f>
        <v>0</v>
      </c>
      <c r="R65" s="8">
        <f>SUBTOTAL(109,Table24571560[Don''t want to])</f>
        <v>0</v>
      </c>
      <c r="S65" s="8">
        <f>SUBTOTAL(109,Table24571560[Fear of theft/vandalism])</f>
        <v>0</v>
      </c>
      <c r="T65" s="8">
        <f>SUBTOTAL(109,Table24571560[Friends/family don''t cycle])</f>
        <v>0</v>
      </c>
      <c r="U65" s="8">
        <f>SUBTOTAL(109,Table24571560[Lack of cycle hire])</f>
        <v>0</v>
      </c>
      <c r="V65" s="8">
        <f>SUBTOTAL(109,Table24571560[Lack of cycle parking])</f>
        <v>0</v>
      </c>
      <c r="W65" s="8">
        <f>SUBTOTAL(109,Table24571560[Need car for work])</f>
        <v>0</v>
      </c>
    </row>
    <row r="67" spans="2:23" x14ac:dyDescent="0.25">
      <c r="B67" s="14" t="s">
        <v>0</v>
      </c>
      <c r="C67" s="14" t="s">
        <v>107</v>
      </c>
      <c r="D67" s="14" t="s">
        <v>58</v>
      </c>
    </row>
    <row r="69" spans="2:23" x14ac:dyDescent="0.25">
      <c r="B69" s="3" t="s">
        <v>15</v>
      </c>
      <c r="C69" s="18" t="s">
        <v>103</v>
      </c>
      <c r="D69" s="33" t="s">
        <v>109</v>
      </c>
      <c r="E69" s="34" t="s">
        <v>115</v>
      </c>
      <c r="F69" s="33" t="s">
        <v>116</v>
      </c>
      <c r="G69" s="33" t="s">
        <v>5</v>
      </c>
      <c r="H69" s="33" t="s">
        <v>117</v>
      </c>
      <c r="I69" s="33" t="s">
        <v>118</v>
      </c>
      <c r="J69" s="33" t="s">
        <v>110</v>
      </c>
      <c r="K69" s="33" t="s">
        <v>119</v>
      </c>
      <c r="L69" s="33" t="s">
        <v>120</v>
      </c>
      <c r="M69" s="33" t="s">
        <v>121</v>
      </c>
      <c r="N69" s="33" t="s">
        <v>122</v>
      </c>
      <c r="O69" s="33" t="s">
        <v>111</v>
      </c>
      <c r="P69" s="33" t="s">
        <v>112</v>
      </c>
      <c r="Q69" s="33" t="s">
        <v>113</v>
      </c>
      <c r="R69" s="34" t="s">
        <v>123</v>
      </c>
      <c r="S69" s="34" t="s">
        <v>124</v>
      </c>
      <c r="T69" s="34" t="s">
        <v>125</v>
      </c>
      <c r="U69" s="36" t="s">
        <v>114</v>
      </c>
      <c r="V69" s="34" t="s">
        <v>10</v>
      </c>
      <c r="W69" s="34" t="s">
        <v>11</v>
      </c>
    </row>
    <row r="70" spans="2:23" x14ac:dyDescent="0.25">
      <c r="B70" s="9" t="s">
        <v>16</v>
      </c>
      <c r="C70" s="9" t="s">
        <v>104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</row>
    <row r="71" spans="2:23" x14ac:dyDescent="0.25">
      <c r="B71" s="9" t="s">
        <v>17</v>
      </c>
      <c r="C71" s="9" t="s">
        <v>104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</row>
    <row r="72" spans="2:23" x14ac:dyDescent="0.25">
      <c r="B72" s="9" t="s">
        <v>14</v>
      </c>
      <c r="C72" s="9" t="s">
        <v>104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</row>
    <row r="73" spans="2:23" x14ac:dyDescent="0.25">
      <c r="B73" s="6" t="s">
        <v>20</v>
      </c>
      <c r="C73" s="6">
        <f>SUBTOTAL(109,Table245791661[RESPONSES])</f>
        <v>0</v>
      </c>
      <c r="D73" s="8">
        <f>SUBTOTAL(109,Table245791661[Air quality])</f>
        <v>0</v>
      </c>
      <c r="E73" s="8">
        <f>SUBTOTAL(109,Table245791661[Care responsibilities])</f>
        <v>0</v>
      </c>
      <c r="F73" s="8">
        <f>SUBTOTAL(109,Table245791661[Costs])</f>
        <v>0</v>
      </c>
      <c r="G73" s="8">
        <f>SUBTOTAL(109,Table245791661[Disability])</f>
        <v>0</v>
      </c>
      <c r="H73" s="8">
        <f>SUBTOTAL(109,Table245791661[Distance/effort])</f>
        <v>0</v>
      </c>
      <c r="I73" s="8">
        <f>SUBTOTAL(109,Table245791661[Don''t own bike])</f>
        <v>0</v>
      </c>
      <c r="J73" s="8">
        <f>SUBTOTAL(109,Table245791661[Don''t want to])</f>
        <v>0</v>
      </c>
      <c r="K73" s="8">
        <f>SUBTOTAL(109,Table245791661[Fear of theft/vandalism])</f>
        <v>0</v>
      </c>
      <c r="L73" s="8">
        <f>SUBTOTAL(109,Table245791661[Friends/family don''t cycle])</f>
        <v>0</v>
      </c>
      <c r="M73" s="8">
        <f>SUBTOTAL(109,Table245791661[Care responsibilities])</f>
        <v>0</v>
      </c>
      <c r="N73" s="8">
        <f>SUBTOTAL(109,Table245791661[Costs])</f>
        <v>0</v>
      </c>
      <c r="O73" s="8">
        <f>SUBTOTAL(109,Table245791661[Disability])</f>
        <v>0</v>
      </c>
      <c r="P73" s="8">
        <f>SUBTOTAL(109,Table245791661[Distance/effort])</f>
        <v>0</v>
      </c>
      <c r="Q73" s="8">
        <f>SUBTOTAL(109,Table245791661[Don''t own bike])</f>
        <v>0</v>
      </c>
      <c r="R73" s="8">
        <f>SUBTOTAL(109,Table245791661[Don''t want to])</f>
        <v>0</v>
      </c>
      <c r="S73" s="8">
        <f>SUBTOTAL(109,Table245791661[Fear of theft/vandalism])</f>
        <v>0</v>
      </c>
      <c r="T73" s="8">
        <f>SUBTOTAL(109,Table245791661[Friends/family don''t cycle])</f>
        <v>0</v>
      </c>
      <c r="U73" s="8">
        <f>SUBTOTAL(109,Table245791661[Lack of cycle hire])</f>
        <v>0</v>
      </c>
      <c r="V73" s="8">
        <f>SUBTOTAL(109,Table245791661[Lack of cycle parking])</f>
        <v>0</v>
      </c>
      <c r="W73" s="8">
        <f>SUBTOTAL(109,Table245791661[Need car for work])</f>
        <v>0</v>
      </c>
    </row>
    <row r="74" spans="2:23" x14ac:dyDescent="0.2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2:23" x14ac:dyDescent="0.25">
      <c r="B75" s="14" t="s">
        <v>0</v>
      </c>
      <c r="C75" s="14" t="s">
        <v>59</v>
      </c>
      <c r="D75" s="14" t="s">
        <v>60</v>
      </c>
    </row>
    <row r="77" spans="2:23" x14ac:dyDescent="0.25">
      <c r="B77" s="3" t="s">
        <v>15</v>
      </c>
      <c r="C77" s="18" t="s">
        <v>103</v>
      </c>
      <c r="D77" s="33" t="s">
        <v>109</v>
      </c>
      <c r="E77" s="34" t="s">
        <v>115</v>
      </c>
      <c r="F77" s="33" t="s">
        <v>116</v>
      </c>
      <c r="G77" s="33" t="s">
        <v>5</v>
      </c>
      <c r="H77" s="33" t="s">
        <v>117</v>
      </c>
      <c r="I77" s="33" t="s">
        <v>118</v>
      </c>
      <c r="J77" s="33" t="s">
        <v>110</v>
      </c>
      <c r="K77" s="33" t="s">
        <v>119</v>
      </c>
      <c r="L77" s="33" t="s">
        <v>120</v>
      </c>
      <c r="M77" s="33" t="s">
        <v>121</v>
      </c>
      <c r="N77" s="33" t="s">
        <v>122</v>
      </c>
      <c r="O77" s="33" t="s">
        <v>111</v>
      </c>
      <c r="P77" s="33" t="s">
        <v>112</v>
      </c>
      <c r="Q77" s="33" t="s">
        <v>113</v>
      </c>
      <c r="R77" s="34" t="s">
        <v>123</v>
      </c>
      <c r="S77" s="34" t="s">
        <v>124</v>
      </c>
      <c r="T77" s="34" t="s">
        <v>125</v>
      </c>
      <c r="U77" s="36" t="s">
        <v>114</v>
      </c>
      <c r="V77" s="34" t="s">
        <v>10</v>
      </c>
      <c r="W77" s="34" t="s">
        <v>11</v>
      </c>
    </row>
    <row r="78" spans="2:23" x14ac:dyDescent="0.25">
      <c r="B78" s="11" t="s">
        <v>61</v>
      </c>
      <c r="C78" s="11" t="s">
        <v>104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</row>
    <row r="79" spans="2:23" x14ac:dyDescent="0.25">
      <c r="B79" s="11" t="s">
        <v>62</v>
      </c>
      <c r="C79" s="11" t="s">
        <v>104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</row>
    <row r="80" spans="2:23" x14ac:dyDescent="0.25">
      <c r="B80" s="11" t="s">
        <v>63</v>
      </c>
      <c r="C80" s="11" t="s">
        <v>104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</row>
    <row r="81" spans="2:23" x14ac:dyDescent="0.25">
      <c r="B81" s="11" t="s">
        <v>37</v>
      </c>
      <c r="C81" s="11" t="s">
        <v>104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</row>
    <row r="82" spans="2:23" x14ac:dyDescent="0.25">
      <c r="B82" s="11" t="s">
        <v>14</v>
      </c>
      <c r="C82" s="11" t="s">
        <v>104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</row>
    <row r="83" spans="2:23" x14ac:dyDescent="0.25">
      <c r="B83" s="6" t="s">
        <v>20</v>
      </c>
      <c r="C83" s="6">
        <f>SUBTOTAL(109,Table24579101762[RESPONSES])</f>
        <v>0</v>
      </c>
      <c r="D83" s="8">
        <f>SUBTOTAL(109,Table24579101762[Air quality])</f>
        <v>0</v>
      </c>
      <c r="E83" s="8">
        <f>SUBTOTAL(109,Table24579101762[Care responsibilities])</f>
        <v>0</v>
      </c>
      <c r="F83" s="8">
        <f>SUBTOTAL(109,Table24579101762[Costs])</f>
        <v>0</v>
      </c>
      <c r="G83" s="8">
        <f>SUBTOTAL(109,Table24579101762[Disability])</f>
        <v>0</v>
      </c>
      <c r="H83" s="8">
        <f>SUBTOTAL(109,Table24579101762[Distance/effort])</f>
        <v>0</v>
      </c>
      <c r="I83" s="8">
        <f>SUBTOTAL(109,Table24579101762[Don''t own bike])</f>
        <v>0</v>
      </c>
      <c r="J83" s="8">
        <f>SUBTOTAL(109,Table24579101762[Don''t want to])</f>
        <v>0</v>
      </c>
      <c r="K83" s="8">
        <f>SUBTOTAL(109,Table24579101762[Fear of theft/vandalism])</f>
        <v>0</v>
      </c>
      <c r="L83" s="8">
        <f>SUBTOTAL(109,Table24579101762[Friends/family don''t cycle])</f>
        <v>0</v>
      </c>
      <c r="M83" s="8">
        <f>SUBTOTAL(109,Table24579101762[Care responsibilities])</f>
        <v>0</v>
      </c>
      <c r="N83" s="8">
        <f>SUBTOTAL(109,Table24579101762[Costs])</f>
        <v>0</v>
      </c>
      <c r="O83" s="8">
        <f>SUBTOTAL(109,Table24579101762[Disability])</f>
        <v>0</v>
      </c>
      <c r="P83" s="8">
        <f>SUBTOTAL(109,Table24579101762[Distance/effort])</f>
        <v>0</v>
      </c>
      <c r="Q83" s="8">
        <f>SUBTOTAL(109,Table24579101762[Don''t own bike])</f>
        <v>0</v>
      </c>
      <c r="R83" s="8">
        <f>SUBTOTAL(109,Table24579101762[Don''t want to])</f>
        <v>0</v>
      </c>
      <c r="S83" s="8">
        <f>SUBTOTAL(109,Table24579101762[Fear of theft/vandalism])</f>
        <v>0</v>
      </c>
      <c r="T83" s="8">
        <f>SUBTOTAL(109,Table24579101762[Friends/family don''t cycle])</f>
        <v>0</v>
      </c>
      <c r="U83" s="8">
        <f>SUBTOTAL(109,Table24579101762[Lack of cycle hire])</f>
        <v>0</v>
      </c>
      <c r="V83" s="8">
        <f>SUBTOTAL(109,Table24579101762[Lack of cycle parking])</f>
        <v>0</v>
      </c>
      <c r="W83" s="8">
        <f>SUBTOTAL(109,Table24579101762[Need car for work])</f>
        <v>0</v>
      </c>
    </row>
    <row r="85" spans="2:23" x14ac:dyDescent="0.25">
      <c r="B85" s="14" t="s">
        <v>0</v>
      </c>
      <c r="C85" s="14" t="s">
        <v>64</v>
      </c>
      <c r="D85" s="14" t="s">
        <v>65</v>
      </c>
    </row>
    <row r="87" spans="2:23" x14ac:dyDescent="0.25">
      <c r="B87" s="3" t="s">
        <v>15</v>
      </c>
      <c r="C87" s="18" t="s">
        <v>103</v>
      </c>
      <c r="D87" s="33" t="s">
        <v>109</v>
      </c>
      <c r="E87" s="34" t="s">
        <v>115</v>
      </c>
      <c r="F87" s="33" t="s">
        <v>116</v>
      </c>
      <c r="G87" s="33" t="s">
        <v>5</v>
      </c>
      <c r="H87" s="33" t="s">
        <v>117</v>
      </c>
      <c r="I87" s="33" t="s">
        <v>118</v>
      </c>
      <c r="J87" s="33" t="s">
        <v>110</v>
      </c>
      <c r="K87" s="33" t="s">
        <v>119</v>
      </c>
      <c r="L87" s="33" t="s">
        <v>120</v>
      </c>
      <c r="M87" s="33" t="s">
        <v>121</v>
      </c>
      <c r="N87" s="33" t="s">
        <v>122</v>
      </c>
      <c r="O87" s="33" t="s">
        <v>111</v>
      </c>
      <c r="P87" s="33" t="s">
        <v>112</v>
      </c>
      <c r="Q87" s="33" t="s">
        <v>113</v>
      </c>
      <c r="R87" s="34" t="s">
        <v>123</v>
      </c>
      <c r="S87" s="34" t="s">
        <v>124</v>
      </c>
      <c r="T87" s="34" t="s">
        <v>125</v>
      </c>
      <c r="U87" s="36" t="s">
        <v>114</v>
      </c>
      <c r="V87" s="34" t="s">
        <v>10</v>
      </c>
      <c r="W87" s="34" t="s">
        <v>11</v>
      </c>
    </row>
    <row r="88" spans="2:23" x14ac:dyDescent="0.25">
      <c r="B88" s="11" t="s">
        <v>66</v>
      </c>
      <c r="C88" s="11" t="s">
        <v>104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</row>
    <row r="89" spans="2:23" x14ac:dyDescent="0.25">
      <c r="B89" s="11" t="s">
        <v>67</v>
      </c>
      <c r="C89" s="11" t="s">
        <v>104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</row>
    <row r="90" spans="2:23" x14ac:dyDescent="0.25">
      <c r="B90" s="11" t="s">
        <v>68</v>
      </c>
      <c r="C90" s="11" t="s">
        <v>104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</row>
    <row r="91" spans="2:23" x14ac:dyDescent="0.25">
      <c r="B91" s="11" t="s">
        <v>69</v>
      </c>
      <c r="C91" s="11" t="s">
        <v>104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</row>
    <row r="92" spans="2:23" x14ac:dyDescent="0.25">
      <c r="B92" s="11" t="s">
        <v>70</v>
      </c>
      <c r="C92" s="11" t="s">
        <v>104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</row>
    <row r="93" spans="2:23" x14ac:dyDescent="0.25">
      <c r="B93" s="11" t="s">
        <v>71</v>
      </c>
      <c r="C93" s="11" t="s">
        <v>104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</row>
    <row r="94" spans="2:23" x14ac:dyDescent="0.25">
      <c r="B94" s="11" t="s">
        <v>72</v>
      </c>
      <c r="C94" s="11" t="s">
        <v>104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</row>
    <row r="95" spans="2:23" x14ac:dyDescent="0.25">
      <c r="B95" s="11" t="s">
        <v>37</v>
      </c>
      <c r="C95" s="11" t="s">
        <v>104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</row>
    <row r="96" spans="2:23" x14ac:dyDescent="0.25">
      <c r="B96" s="11" t="s">
        <v>14</v>
      </c>
      <c r="C96" s="11" t="s">
        <v>104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</row>
    <row r="97" spans="2:23" x14ac:dyDescent="0.25">
      <c r="B97" s="6" t="s">
        <v>20</v>
      </c>
      <c r="C97" s="6">
        <f>SUBTOTAL(109,Table2457910111863[RESPONSES])</f>
        <v>0</v>
      </c>
      <c r="D97" s="8">
        <f>SUBTOTAL(109,Table2457910111863[Air quality])</f>
        <v>0</v>
      </c>
      <c r="E97" s="8">
        <f>SUBTOTAL(109,Table2457910111863[Care responsibilities])</f>
        <v>0</v>
      </c>
      <c r="F97" s="8">
        <f>SUBTOTAL(109,Table2457910111863[Costs])</f>
        <v>0</v>
      </c>
      <c r="G97" s="8">
        <f>SUBTOTAL(109,Table2457910111863[Disability])</f>
        <v>0</v>
      </c>
      <c r="H97" s="8">
        <f>SUBTOTAL(109,Table2457910111863[Distance/effort])</f>
        <v>0</v>
      </c>
      <c r="I97" s="8">
        <f>SUBTOTAL(109,Table2457910111863[Don''t own bike])</f>
        <v>0</v>
      </c>
      <c r="J97" s="8">
        <f>SUBTOTAL(109,Table2457910111863[Don''t want to])</f>
        <v>0</v>
      </c>
      <c r="K97" s="8">
        <f>SUBTOTAL(109,Table2457910111863[Fear of theft/vandalism])</f>
        <v>0</v>
      </c>
      <c r="L97" s="8">
        <f>SUBTOTAL(109,Table2457910111863[Friends/family don''t cycle])</f>
        <v>0</v>
      </c>
      <c r="M97" s="8">
        <f>SUBTOTAL(109,Table2457910111863[Care responsibilities])</f>
        <v>0</v>
      </c>
      <c r="N97" s="8">
        <f>SUBTOTAL(109,Table2457910111863[Costs])</f>
        <v>0</v>
      </c>
      <c r="O97" s="8">
        <f>SUBTOTAL(109,Table2457910111863[Disability])</f>
        <v>0</v>
      </c>
      <c r="P97" s="8">
        <f>SUBTOTAL(109,Table2457910111863[Distance/effort])</f>
        <v>0</v>
      </c>
      <c r="Q97" s="8">
        <f>SUBTOTAL(109,Table2457910111863[Don''t own bike])</f>
        <v>0</v>
      </c>
      <c r="R97" s="8">
        <f>SUBTOTAL(109,Table2457910111863[Don''t want to])</f>
        <v>0</v>
      </c>
      <c r="S97" s="8">
        <f>SUBTOTAL(109,Table2457910111863[Fear of theft/vandalism])</f>
        <v>0</v>
      </c>
      <c r="T97" s="8">
        <f>SUBTOTAL(109,Table2457910111863[Friends/family don''t cycle])</f>
        <v>0</v>
      </c>
      <c r="U97" s="8">
        <f>SUBTOTAL(109,Table2457910111863[Lack of cycle hire])</f>
        <v>0</v>
      </c>
      <c r="V97" s="8">
        <f>SUBTOTAL(109,Table2457910111863[Lack of cycle parking])</f>
        <v>0</v>
      </c>
      <c r="W97" s="8">
        <f>SUBTOTAL(109,Table2457910111863[Need car for work])</f>
        <v>0</v>
      </c>
    </row>
    <row r="99" spans="2:23" x14ac:dyDescent="0.25">
      <c r="B99" s="14" t="s">
        <v>0</v>
      </c>
      <c r="C99" s="14" t="s">
        <v>73</v>
      </c>
      <c r="D99" s="14" t="s">
        <v>74</v>
      </c>
    </row>
    <row r="101" spans="2:23" x14ac:dyDescent="0.25">
      <c r="B101" s="3" t="s">
        <v>15</v>
      </c>
      <c r="C101" s="18" t="s">
        <v>103</v>
      </c>
      <c r="D101" s="33" t="s">
        <v>109</v>
      </c>
      <c r="E101" s="34" t="s">
        <v>115</v>
      </c>
      <c r="F101" s="33" t="s">
        <v>116</v>
      </c>
      <c r="G101" s="33" t="s">
        <v>5</v>
      </c>
      <c r="H101" s="33" t="s">
        <v>117</v>
      </c>
      <c r="I101" s="33" t="s">
        <v>118</v>
      </c>
      <c r="J101" s="33" t="s">
        <v>110</v>
      </c>
      <c r="K101" s="33" t="s">
        <v>119</v>
      </c>
      <c r="L101" s="33" t="s">
        <v>120</v>
      </c>
      <c r="M101" s="33" t="s">
        <v>121</v>
      </c>
      <c r="N101" s="33" t="s">
        <v>122</v>
      </c>
      <c r="O101" s="33" t="s">
        <v>111</v>
      </c>
      <c r="P101" s="33" t="s">
        <v>112</v>
      </c>
      <c r="Q101" s="33" t="s">
        <v>113</v>
      </c>
      <c r="R101" s="34" t="s">
        <v>123</v>
      </c>
      <c r="S101" s="34" t="s">
        <v>124</v>
      </c>
      <c r="T101" s="34" t="s">
        <v>125</v>
      </c>
      <c r="U101" s="36" t="s">
        <v>114</v>
      </c>
      <c r="V101" s="34" t="s">
        <v>10</v>
      </c>
      <c r="W101" s="34" t="s">
        <v>11</v>
      </c>
    </row>
    <row r="102" spans="2:23" x14ac:dyDescent="0.25">
      <c r="B102" s="11" t="s">
        <v>16</v>
      </c>
      <c r="C102" s="11" t="s">
        <v>104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</row>
    <row r="103" spans="2:23" x14ac:dyDescent="0.25">
      <c r="B103" s="11" t="s">
        <v>17</v>
      </c>
      <c r="C103" s="11" t="s">
        <v>104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</row>
    <row r="104" spans="2:23" x14ac:dyDescent="0.25">
      <c r="B104" s="11" t="s">
        <v>14</v>
      </c>
      <c r="C104" s="11" t="s">
        <v>104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</row>
    <row r="105" spans="2:23" x14ac:dyDescent="0.25">
      <c r="B105" s="1" t="s">
        <v>20</v>
      </c>
      <c r="C105" s="1">
        <f>SUBTOTAL(109,Table245791011121964[RESPONSES])</f>
        <v>0</v>
      </c>
      <c r="D105" s="7">
        <f>SUBTOTAL(109,Table245791011121964[Air quality])</f>
        <v>0</v>
      </c>
      <c r="E105" s="8">
        <f>SUBTOTAL(109,Table245791011121964[Care responsibilities])</f>
        <v>0</v>
      </c>
      <c r="F105" s="8">
        <f>SUBTOTAL(109,Table245791011121964[Costs])</f>
        <v>0</v>
      </c>
      <c r="G105" s="8">
        <f>SUBTOTAL(109,Table245791011121964[Disability])</f>
        <v>0</v>
      </c>
      <c r="H105" s="8">
        <f>SUBTOTAL(109,Table245791011121964[Distance/effort])</f>
        <v>0</v>
      </c>
      <c r="I105" s="8">
        <f>SUBTOTAL(109,Table245791011121964[Don''t own bike])</f>
        <v>0</v>
      </c>
      <c r="J105" s="8">
        <f>SUBTOTAL(109,Table245791011121964[Don''t want to])</f>
        <v>0</v>
      </c>
      <c r="K105" s="8">
        <f>SUBTOTAL(109,Table245791011121964[Fear of theft/vandalism])</f>
        <v>0</v>
      </c>
      <c r="L105" s="8">
        <f>SUBTOTAL(109,Table245791011121964[Friends/family don''t cycle])</f>
        <v>0</v>
      </c>
      <c r="M105" s="8">
        <f>SUBTOTAL(109,Table245791011121964[Care responsibilities])</f>
        <v>0</v>
      </c>
      <c r="N105" s="8">
        <f>SUBTOTAL(109,Table245791011121964[Costs])</f>
        <v>0</v>
      </c>
      <c r="O105" s="8">
        <f>SUBTOTAL(109,Table245791011121964[Disability])</f>
        <v>0</v>
      </c>
      <c r="P105" s="8">
        <f>SUBTOTAL(109,Table245791011121964[Distance/effort])</f>
        <v>0</v>
      </c>
      <c r="Q105" s="8">
        <f>SUBTOTAL(109,Table245791011121964[Don''t own bike])</f>
        <v>0</v>
      </c>
      <c r="R105" s="8">
        <f>SUBTOTAL(109,Table245791011121964[Don''t want to])</f>
        <v>0</v>
      </c>
      <c r="S105" s="8">
        <f>SUBTOTAL(109,Table245791011121964[Fear of theft/vandalism])</f>
        <v>0</v>
      </c>
      <c r="T105" s="8">
        <f>SUBTOTAL(109,Table245791011121964[Friends/family don''t cycle])</f>
        <v>0</v>
      </c>
      <c r="U105" s="8">
        <f>SUBTOTAL(109,Table245791011121964[Lack of cycle hire])</f>
        <v>0</v>
      </c>
      <c r="V105" s="8">
        <f>SUBTOTAL(109,Table245791011121964[Lack of cycle parking])</f>
        <v>0</v>
      </c>
      <c r="W105" s="8">
        <f>SUBTOTAL(109,Table245791011121964[Need car for work])</f>
        <v>0</v>
      </c>
    </row>
  </sheetData>
  <mergeCells count="6">
    <mergeCell ref="A54:A56"/>
    <mergeCell ref="B2:B3"/>
    <mergeCell ref="A38:A42"/>
    <mergeCell ref="A43:A45"/>
    <mergeCell ref="A46:A49"/>
    <mergeCell ref="A50:A53"/>
  </mergeCells>
  <conditionalFormatting sqref="D8:W10">
    <cfRule type="colorScale" priority="9">
      <colorScale>
        <cfvo type="min"/>
        <cfvo type="max"/>
        <color rgb="FFFCFCFF"/>
        <color rgb="FFF8696B"/>
      </colorScale>
    </cfRule>
  </conditionalFormatting>
  <conditionalFormatting sqref="D16:W18">
    <cfRule type="colorScale" priority="8">
      <colorScale>
        <cfvo type="min"/>
        <cfvo type="max"/>
        <color rgb="FFFCFCFF"/>
        <color rgb="FFF8696B"/>
      </colorScale>
    </cfRule>
  </conditionalFormatting>
  <conditionalFormatting sqref="D24:W32">
    <cfRule type="colorScale" priority="7">
      <colorScale>
        <cfvo type="min"/>
        <cfvo type="max"/>
        <color rgb="FFFCFCFF"/>
        <color rgb="FFF8696B"/>
      </colorScale>
    </cfRule>
  </conditionalFormatting>
  <conditionalFormatting sqref="D38:W56">
    <cfRule type="colorScale" priority="6">
      <colorScale>
        <cfvo type="min"/>
        <cfvo type="max"/>
        <color rgb="FFFCFCFF"/>
        <color rgb="FFF8696B"/>
      </colorScale>
    </cfRule>
  </conditionalFormatting>
  <conditionalFormatting sqref="D62:W64">
    <cfRule type="colorScale" priority="5">
      <colorScale>
        <cfvo type="min"/>
        <cfvo type="max"/>
        <color rgb="FFFCFCFF"/>
        <color rgb="FFF8696B"/>
      </colorScale>
    </cfRule>
  </conditionalFormatting>
  <conditionalFormatting sqref="D70:W72">
    <cfRule type="colorScale" priority="4">
      <colorScale>
        <cfvo type="min"/>
        <cfvo type="max"/>
        <color rgb="FFFCFCFF"/>
        <color rgb="FFF8696B"/>
      </colorScale>
    </cfRule>
  </conditionalFormatting>
  <conditionalFormatting sqref="D78:W82">
    <cfRule type="colorScale" priority="3">
      <colorScale>
        <cfvo type="min"/>
        <cfvo type="max"/>
        <color rgb="FFFCFCFF"/>
        <color rgb="FFF8696B"/>
      </colorScale>
    </cfRule>
  </conditionalFormatting>
  <conditionalFormatting sqref="D88:W96">
    <cfRule type="colorScale" priority="2">
      <colorScale>
        <cfvo type="min"/>
        <cfvo type="max"/>
        <color rgb="FFFCFCFF"/>
        <color rgb="FFF8696B"/>
      </colorScale>
    </cfRule>
  </conditionalFormatting>
  <conditionalFormatting sqref="D102:W104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portrait" verticalDpi="0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105"/>
  <sheetViews>
    <sheetView zoomScale="85" zoomScaleNormal="85" workbookViewId="0"/>
  </sheetViews>
  <sheetFormatPr defaultRowHeight="15" x14ac:dyDescent="0.25"/>
  <cols>
    <col min="1" max="1" width="3.28515625" customWidth="1"/>
    <col min="2" max="2" width="21.42578125" bestFit="1" customWidth="1"/>
    <col min="3" max="19" width="13.7109375" customWidth="1"/>
  </cols>
  <sheetData>
    <row r="1" spans="2:19" ht="18.75" x14ac:dyDescent="0.3">
      <c r="B1" s="38" t="s">
        <v>139</v>
      </c>
    </row>
    <row r="2" spans="2:19" x14ac:dyDescent="0.25">
      <c r="B2" s="63" t="s">
        <v>85</v>
      </c>
      <c r="C2" t="s">
        <v>81</v>
      </c>
      <c r="D2" t="s">
        <v>83</v>
      </c>
    </row>
    <row r="3" spans="2:19" x14ac:dyDescent="0.25">
      <c r="B3" s="63"/>
      <c r="C3" t="s">
        <v>82</v>
      </c>
      <c r="D3" t="s">
        <v>84</v>
      </c>
    </row>
    <row r="4" spans="2:19" x14ac:dyDescent="0.25">
      <c r="B4" s="12"/>
    </row>
    <row r="5" spans="2:19" x14ac:dyDescent="0.25">
      <c r="B5" s="14" t="s">
        <v>0</v>
      </c>
      <c r="C5" s="14" t="s">
        <v>1</v>
      </c>
      <c r="D5" s="14" t="s">
        <v>2</v>
      </c>
    </row>
    <row r="7" spans="2:19" s="31" customFormat="1" x14ac:dyDescent="0.25">
      <c r="B7" s="3" t="s">
        <v>15</v>
      </c>
      <c r="C7" s="18" t="s">
        <v>103</v>
      </c>
      <c r="D7" s="37" t="s">
        <v>115</v>
      </c>
      <c r="E7" s="10" t="s">
        <v>126</v>
      </c>
      <c r="F7" s="10" t="s">
        <v>127</v>
      </c>
      <c r="G7" s="10" t="s">
        <v>5</v>
      </c>
      <c r="H7" s="10" t="s">
        <v>7</v>
      </c>
      <c r="I7" s="10" t="s">
        <v>128</v>
      </c>
      <c r="J7" s="10" t="s">
        <v>129</v>
      </c>
      <c r="K7" s="10" t="s">
        <v>111</v>
      </c>
      <c r="L7" s="10" t="s">
        <v>113</v>
      </c>
      <c r="M7" s="10" t="s">
        <v>124</v>
      </c>
      <c r="N7" s="10" t="s">
        <v>130</v>
      </c>
      <c r="O7" s="10" t="s">
        <v>131</v>
      </c>
      <c r="P7" s="10" t="s">
        <v>132</v>
      </c>
      <c r="Q7" s="10" t="s">
        <v>114</v>
      </c>
      <c r="R7" s="10" t="s">
        <v>10</v>
      </c>
      <c r="S7" s="10" t="s">
        <v>11</v>
      </c>
    </row>
    <row r="8" spans="2:19" x14ac:dyDescent="0.25">
      <c r="B8" s="2" t="s">
        <v>12</v>
      </c>
      <c r="C8" s="2" t="s">
        <v>104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</row>
    <row r="9" spans="2:19" x14ac:dyDescent="0.25">
      <c r="B9" s="2" t="s">
        <v>13</v>
      </c>
      <c r="C9" s="2" t="s">
        <v>104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</row>
    <row r="10" spans="2:19" x14ac:dyDescent="0.25">
      <c r="B10" s="4" t="s">
        <v>14</v>
      </c>
      <c r="C10" s="2" t="s">
        <v>104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</row>
    <row r="11" spans="2:19" x14ac:dyDescent="0.25">
      <c r="B11" s="4" t="s">
        <v>20</v>
      </c>
      <c r="C11" s="4">
        <f>SUBTOTAL(109,Table2822074[RESPONSES])</f>
        <v>0</v>
      </c>
      <c r="D11" s="5">
        <f>SUBTOTAL(109,Table2822074[Care responsibilities])</f>
        <v>0</v>
      </c>
      <c r="E11" s="5">
        <f>SUBTOTAL(109,Table2822074[Cost])</f>
        <v>0</v>
      </c>
      <c r="F11" s="5">
        <f>SUBTOTAL(109,Table2822074[Covid-19])</f>
        <v>0</v>
      </c>
      <c r="G11" s="5">
        <f>SUBTOTAL(109,Table2822074[Disability])</f>
        <v>0</v>
      </c>
      <c r="H11" s="5">
        <f>SUBTOTAL(109,Table2822074[Don’t Want To])</f>
        <v>0</v>
      </c>
      <c r="I11" s="5">
        <f>SUBTOTAL(109,Table2822074[Infrequent/unreliable])</f>
        <v>0</v>
      </c>
      <c r="J11" s="5">
        <f>SUBTOTAL(109,Table2822074[Limited operating hours])</f>
        <v>0</v>
      </c>
      <c r="K11" s="5">
        <f>SUBTOTAL(109,Table2822074[Need car for work])</f>
        <v>0</v>
      </c>
      <c r="L11" s="5">
        <f>SUBTOTAL(109,Table2822074[Personal safety])</f>
        <v>0</v>
      </c>
      <c r="M11" s="5">
        <f>SUBTOTAL(109,Table2822074[Road safety/traffic])</f>
        <v>0</v>
      </c>
      <c r="N11" s="5">
        <f>SUBTOTAL(109,Table2822074[Too far/indirect])</f>
        <v>0</v>
      </c>
      <c r="O11" s="5">
        <f>SUBTOTAL(109,Table2822074[Too busy])</f>
        <v>0</v>
      </c>
      <c r="P11" s="5">
        <f>SUBTOTAL(109,Table2822074[Travel time])</f>
        <v>0</v>
      </c>
      <c r="Q11" s="5">
        <f>SUBTOTAL(109,Table2822074[Work from home])</f>
        <v>0</v>
      </c>
      <c r="R11" s="5">
        <f>SUBTOTAL(109,Table2822074[N/A])</f>
        <v>0</v>
      </c>
      <c r="S11" s="5">
        <f>SUBTOTAL(109,Table2822074[Other (specify)])</f>
        <v>0</v>
      </c>
    </row>
    <row r="13" spans="2:19" x14ac:dyDescent="0.25">
      <c r="B13" s="14" t="s">
        <v>0</v>
      </c>
      <c r="C13" s="14" t="s">
        <v>18</v>
      </c>
      <c r="D13" s="14" t="s">
        <v>19</v>
      </c>
    </row>
    <row r="15" spans="2:19" x14ac:dyDescent="0.25">
      <c r="B15" s="3" t="s">
        <v>15</v>
      </c>
      <c r="C15" s="18" t="s">
        <v>103</v>
      </c>
      <c r="D15" s="37" t="s">
        <v>115</v>
      </c>
      <c r="E15" s="10" t="s">
        <v>126</v>
      </c>
      <c r="F15" s="10" t="s">
        <v>127</v>
      </c>
      <c r="G15" s="10" t="s">
        <v>5</v>
      </c>
      <c r="H15" s="10" t="s">
        <v>7</v>
      </c>
      <c r="I15" s="10" t="s">
        <v>128</v>
      </c>
      <c r="J15" s="10" t="s">
        <v>129</v>
      </c>
      <c r="K15" s="10" t="s">
        <v>111</v>
      </c>
      <c r="L15" s="10" t="s">
        <v>113</v>
      </c>
      <c r="M15" s="10" t="s">
        <v>124</v>
      </c>
      <c r="N15" s="10" t="s">
        <v>130</v>
      </c>
      <c r="O15" s="10" t="s">
        <v>131</v>
      </c>
      <c r="P15" s="10" t="s">
        <v>132</v>
      </c>
      <c r="Q15" s="10" t="s">
        <v>114</v>
      </c>
      <c r="R15" s="26" t="s">
        <v>10</v>
      </c>
      <c r="S15" s="26" t="s">
        <v>11</v>
      </c>
    </row>
    <row r="16" spans="2:19" x14ac:dyDescent="0.25">
      <c r="B16" s="2" t="s">
        <v>16</v>
      </c>
      <c r="C16" s="2" t="s">
        <v>104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</row>
    <row r="17" spans="2:19" x14ac:dyDescent="0.25">
      <c r="B17" s="2" t="s">
        <v>17</v>
      </c>
      <c r="C17" s="2" t="s">
        <v>104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</row>
    <row r="18" spans="2:19" x14ac:dyDescent="0.25">
      <c r="B18" s="4" t="s">
        <v>14</v>
      </c>
      <c r="C18" s="4" t="s">
        <v>104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</row>
    <row r="19" spans="2:19" x14ac:dyDescent="0.25">
      <c r="B19" s="7" t="s">
        <v>20</v>
      </c>
      <c r="C19" s="7">
        <f>SUBTOTAL(109,Table24132175[RESPONSES])</f>
        <v>0</v>
      </c>
      <c r="D19" s="8">
        <f>SUBTOTAL(109,Table24132175[Care responsibilities])</f>
        <v>0</v>
      </c>
      <c r="E19" s="8">
        <f>SUBTOTAL(109,Table24132175[Cost])</f>
        <v>0</v>
      </c>
      <c r="F19" s="8">
        <f>SUBTOTAL(109,Table24132175[Covid-19])</f>
        <v>0</v>
      </c>
      <c r="G19" s="8">
        <f>SUBTOTAL(109,Table24132175[Disability])</f>
        <v>0</v>
      </c>
      <c r="H19" s="8">
        <f>SUBTOTAL(109,Table24132175[Don’t Want To])</f>
        <v>0</v>
      </c>
      <c r="I19" s="8">
        <f>SUBTOTAL(109,Table24132175[Infrequent/unreliable])</f>
        <v>0</v>
      </c>
      <c r="J19" s="8">
        <f>SUBTOTAL(109,Table24132175[Limited operating hours])</f>
        <v>0</v>
      </c>
      <c r="K19" s="8">
        <f>SUBTOTAL(109,Table24132175[Need car for work])</f>
        <v>0</v>
      </c>
      <c r="L19" s="8">
        <f>SUBTOTAL(109,Table24132175[Personal safety])</f>
        <v>0</v>
      </c>
      <c r="M19" s="8">
        <f>SUBTOTAL(109,Table24132175[Cost])</f>
        <v>0</v>
      </c>
      <c r="N19" s="8">
        <f>SUBTOTAL(109,Table24132175[Covid-19])</f>
        <v>0</v>
      </c>
      <c r="O19" s="8">
        <f>SUBTOTAL(109,Table24132175[Disability])</f>
        <v>0</v>
      </c>
      <c r="P19" s="8">
        <f>SUBTOTAL(109,Table24132175[Don’t Want To])</f>
        <v>0</v>
      </c>
      <c r="Q19" s="8">
        <f>SUBTOTAL(109,Table24132175[Infrequent/unreliable])</f>
        <v>0</v>
      </c>
      <c r="R19" s="8">
        <f>SUBTOTAL(109,Table24132175[Limited operating hours])</f>
        <v>0</v>
      </c>
      <c r="S19" s="8">
        <f>SUBTOTAL(109,Table24132175[Need car for work])</f>
        <v>0</v>
      </c>
    </row>
    <row r="21" spans="2:19" x14ac:dyDescent="0.25">
      <c r="B21" s="14" t="s">
        <v>0</v>
      </c>
      <c r="C21" s="14" t="s">
        <v>21</v>
      </c>
      <c r="D21" s="14" t="s">
        <v>22</v>
      </c>
    </row>
    <row r="23" spans="2:19" x14ac:dyDescent="0.25">
      <c r="B23" s="3" t="s">
        <v>15</v>
      </c>
      <c r="C23" s="18" t="s">
        <v>103</v>
      </c>
      <c r="D23" s="37" t="s">
        <v>115</v>
      </c>
      <c r="E23" s="10" t="s">
        <v>126</v>
      </c>
      <c r="F23" s="10" t="s">
        <v>127</v>
      </c>
      <c r="G23" s="10" t="s">
        <v>5</v>
      </c>
      <c r="H23" s="10" t="s">
        <v>7</v>
      </c>
      <c r="I23" s="10" t="s">
        <v>128</v>
      </c>
      <c r="J23" s="10" t="s">
        <v>129</v>
      </c>
      <c r="K23" s="10" t="s">
        <v>111</v>
      </c>
      <c r="L23" s="10" t="s">
        <v>113</v>
      </c>
      <c r="M23" s="10" t="s">
        <v>124</v>
      </c>
      <c r="N23" s="10" t="s">
        <v>130</v>
      </c>
      <c r="O23" s="10" t="s">
        <v>131</v>
      </c>
      <c r="P23" s="10" t="s">
        <v>132</v>
      </c>
      <c r="Q23" s="10" t="s">
        <v>114</v>
      </c>
      <c r="R23" s="26" t="s">
        <v>10</v>
      </c>
      <c r="S23" s="26" t="s">
        <v>11</v>
      </c>
    </row>
    <row r="24" spans="2:19" x14ac:dyDescent="0.25">
      <c r="B24" s="9" t="s">
        <v>23</v>
      </c>
      <c r="C24" s="9" t="s">
        <v>104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</row>
    <row r="25" spans="2:19" x14ac:dyDescent="0.25">
      <c r="B25" s="9" t="s">
        <v>24</v>
      </c>
      <c r="C25" s="9" t="s">
        <v>104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</row>
    <row r="26" spans="2:19" x14ac:dyDescent="0.25">
      <c r="B26" s="9" t="s">
        <v>25</v>
      </c>
      <c r="C26" s="9" t="s">
        <v>104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</row>
    <row r="27" spans="2:19" x14ac:dyDescent="0.25">
      <c r="B27" s="9" t="s">
        <v>26</v>
      </c>
      <c r="C27" s="9" t="s">
        <v>104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</row>
    <row r="28" spans="2:19" x14ac:dyDescent="0.25">
      <c r="B28" s="9" t="s">
        <v>27</v>
      </c>
      <c r="C28" s="9" t="s">
        <v>104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</row>
    <row r="29" spans="2:19" x14ac:dyDescent="0.25">
      <c r="B29" s="9" t="s">
        <v>28</v>
      </c>
      <c r="C29" s="9" t="s">
        <v>104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</row>
    <row r="30" spans="2:19" x14ac:dyDescent="0.25">
      <c r="B30" s="9" t="s">
        <v>29</v>
      </c>
      <c r="C30" s="9" t="s">
        <v>104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</row>
    <row r="31" spans="2:19" x14ac:dyDescent="0.25">
      <c r="B31" s="9" t="s">
        <v>30</v>
      </c>
      <c r="C31" s="9" t="s">
        <v>104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</row>
    <row r="32" spans="2:19" x14ac:dyDescent="0.25">
      <c r="B32" s="9" t="s">
        <v>14</v>
      </c>
      <c r="C32" s="9" t="s">
        <v>104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</row>
    <row r="33" spans="1:19" x14ac:dyDescent="0.25">
      <c r="B33" s="6" t="s">
        <v>20</v>
      </c>
      <c r="C33" s="6">
        <f>SUBTOTAL(109,Table245142276[RESPONSES])</f>
        <v>0</v>
      </c>
      <c r="D33" s="8">
        <f>SUBTOTAL(109,Table245142276[Care responsibilities])</f>
        <v>0</v>
      </c>
      <c r="E33" s="8">
        <f>SUBTOTAL(109,Table245142276[Cost])</f>
        <v>0</v>
      </c>
      <c r="F33" s="8">
        <f>SUBTOTAL(109,Table245142276[Covid-19])</f>
        <v>0</v>
      </c>
      <c r="G33" s="8">
        <f>SUBTOTAL(109,Table245142276[Disability])</f>
        <v>0</v>
      </c>
      <c r="H33" s="8">
        <f>SUBTOTAL(109,Table245142276[Don’t Want To])</f>
        <v>0</v>
      </c>
      <c r="I33" s="8">
        <f>SUBTOTAL(109,Table245142276[Infrequent/unreliable])</f>
        <v>0</v>
      </c>
      <c r="J33" s="8">
        <f>SUBTOTAL(109,Table245142276[Limited operating hours])</f>
        <v>0</v>
      </c>
      <c r="K33" s="8">
        <f>SUBTOTAL(109,Table245142276[Need car for work])</f>
        <v>0</v>
      </c>
      <c r="L33" s="8">
        <f>SUBTOTAL(109,Table245142276[Personal safety])</f>
        <v>0</v>
      </c>
      <c r="M33" s="8">
        <f>SUBTOTAL(109,Table245142276[Cost])</f>
        <v>0</v>
      </c>
      <c r="N33" s="8">
        <f>SUBTOTAL(109,Table245142276[Covid-19])</f>
        <v>0</v>
      </c>
      <c r="O33" s="8">
        <f>SUBTOTAL(109,Table245142276[Disability])</f>
        <v>0</v>
      </c>
      <c r="P33" s="8">
        <f>SUBTOTAL(109,Table245142276[Don’t Want To])</f>
        <v>0</v>
      </c>
      <c r="Q33" s="8">
        <f>SUBTOTAL(109,Table245142276[Infrequent/unreliable])</f>
        <v>0</v>
      </c>
      <c r="R33" s="8">
        <f>SUBTOTAL(109,Table245142276[Limited operating hours])</f>
        <v>0</v>
      </c>
      <c r="S33" s="8">
        <f>SUBTOTAL(109,Table245142276[Need car for work])</f>
        <v>0</v>
      </c>
    </row>
    <row r="35" spans="1:19" x14ac:dyDescent="0.25">
      <c r="B35" s="14" t="s">
        <v>0</v>
      </c>
      <c r="C35" s="14" t="s">
        <v>31</v>
      </c>
      <c r="D35" s="14" t="s">
        <v>32</v>
      </c>
    </row>
    <row r="37" spans="1:19" x14ac:dyDescent="0.25">
      <c r="A37" s="31"/>
      <c r="B37" s="3" t="s">
        <v>15</v>
      </c>
      <c r="C37" s="18" t="s">
        <v>103</v>
      </c>
      <c r="D37" s="37" t="s">
        <v>115</v>
      </c>
      <c r="E37" s="10" t="s">
        <v>126</v>
      </c>
      <c r="F37" s="10" t="s">
        <v>127</v>
      </c>
      <c r="G37" s="10" t="s">
        <v>5</v>
      </c>
      <c r="H37" s="10" t="s">
        <v>7</v>
      </c>
      <c r="I37" s="10" t="s">
        <v>128</v>
      </c>
      <c r="J37" s="10" t="s">
        <v>129</v>
      </c>
      <c r="K37" s="10" t="s">
        <v>111</v>
      </c>
      <c r="L37" s="10" t="s">
        <v>113</v>
      </c>
      <c r="M37" s="10" t="s">
        <v>124</v>
      </c>
      <c r="N37" s="10" t="s">
        <v>130</v>
      </c>
      <c r="O37" s="10" t="s">
        <v>131</v>
      </c>
      <c r="P37" s="10" t="s">
        <v>132</v>
      </c>
      <c r="Q37" s="10" t="s">
        <v>114</v>
      </c>
      <c r="R37" s="26" t="s">
        <v>10</v>
      </c>
      <c r="S37" s="26" t="s">
        <v>11</v>
      </c>
    </row>
    <row r="38" spans="1:19" x14ac:dyDescent="0.25">
      <c r="A38" s="64" t="s">
        <v>51</v>
      </c>
      <c r="B38" s="10" t="s">
        <v>33</v>
      </c>
      <c r="C38" s="11" t="s">
        <v>104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</row>
    <row r="39" spans="1:19" x14ac:dyDescent="0.25">
      <c r="A39" s="64"/>
      <c r="B39" s="10" t="s">
        <v>34</v>
      </c>
      <c r="C39" s="11" t="s">
        <v>104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</row>
    <row r="40" spans="1:19" x14ac:dyDescent="0.25">
      <c r="A40" s="64"/>
      <c r="B40" s="10" t="s">
        <v>35</v>
      </c>
      <c r="C40" s="11" t="s">
        <v>104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</row>
    <row r="41" spans="1:19" x14ac:dyDescent="0.25">
      <c r="A41" s="64"/>
      <c r="B41" s="10" t="s">
        <v>36</v>
      </c>
      <c r="C41" s="11" t="s">
        <v>104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</row>
    <row r="42" spans="1:19" x14ac:dyDescent="0.25">
      <c r="A42" s="64"/>
      <c r="B42" s="10" t="s">
        <v>37</v>
      </c>
      <c r="C42" s="11" t="s">
        <v>104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</row>
    <row r="43" spans="1:19" x14ac:dyDescent="0.25">
      <c r="A43" s="64" t="s">
        <v>52</v>
      </c>
      <c r="B43" s="10" t="s">
        <v>38</v>
      </c>
      <c r="C43" s="11" t="s">
        <v>104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</row>
    <row r="44" spans="1:19" x14ac:dyDescent="0.25">
      <c r="A44" s="64"/>
      <c r="B44" s="10" t="s">
        <v>39</v>
      </c>
      <c r="C44" s="11" t="s">
        <v>104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</row>
    <row r="45" spans="1:19" x14ac:dyDescent="0.25">
      <c r="A45" s="64"/>
      <c r="B45" s="10" t="s">
        <v>40</v>
      </c>
      <c r="C45" s="11" t="s">
        <v>104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</row>
    <row r="46" spans="1:19" x14ac:dyDescent="0.25">
      <c r="A46" s="62" t="s">
        <v>53</v>
      </c>
      <c r="B46" s="10" t="s">
        <v>41</v>
      </c>
      <c r="C46" s="11" t="s">
        <v>104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</row>
    <row r="47" spans="1:19" x14ac:dyDescent="0.25">
      <c r="A47" s="62"/>
      <c r="B47" s="10" t="s">
        <v>42</v>
      </c>
      <c r="C47" s="11" t="s">
        <v>104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</row>
    <row r="48" spans="1:19" x14ac:dyDescent="0.25">
      <c r="A48" s="62"/>
      <c r="B48" s="10" t="s">
        <v>43</v>
      </c>
      <c r="C48" s="11" t="s">
        <v>104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</row>
    <row r="49" spans="1:19" x14ac:dyDescent="0.25">
      <c r="A49" s="62"/>
      <c r="B49" s="10" t="s">
        <v>44</v>
      </c>
      <c r="C49" s="11" t="s">
        <v>104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</row>
    <row r="50" spans="1:19" x14ac:dyDescent="0.25">
      <c r="A50" s="62" t="s">
        <v>54</v>
      </c>
      <c r="B50" s="10" t="s">
        <v>45</v>
      </c>
      <c r="C50" s="11" t="s">
        <v>104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</row>
    <row r="51" spans="1:19" x14ac:dyDescent="0.25">
      <c r="A51" s="62"/>
      <c r="B51" s="10" t="s">
        <v>46</v>
      </c>
      <c r="C51" s="11" t="s">
        <v>104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</row>
    <row r="52" spans="1:19" x14ac:dyDescent="0.25">
      <c r="A52" s="62"/>
      <c r="B52" s="10" t="s">
        <v>47</v>
      </c>
      <c r="C52" s="11" t="s">
        <v>104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</row>
    <row r="53" spans="1:19" x14ac:dyDescent="0.25">
      <c r="A53" s="62"/>
      <c r="B53" s="10" t="s">
        <v>48</v>
      </c>
      <c r="C53" s="11" t="s">
        <v>104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</row>
    <row r="54" spans="1:19" x14ac:dyDescent="0.25">
      <c r="A54" s="62" t="s">
        <v>37</v>
      </c>
      <c r="B54" s="10" t="s">
        <v>49</v>
      </c>
      <c r="C54" s="11" t="s">
        <v>104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</row>
    <row r="55" spans="1:19" x14ac:dyDescent="0.25">
      <c r="A55" s="62"/>
      <c r="B55" s="10" t="s">
        <v>50</v>
      </c>
      <c r="C55" s="11" t="s">
        <v>104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</row>
    <row r="56" spans="1:19" x14ac:dyDescent="0.25">
      <c r="A56" s="62"/>
      <c r="B56" s="10" t="s">
        <v>14</v>
      </c>
      <c r="C56" s="11" t="s">
        <v>104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</row>
    <row r="57" spans="1:19" x14ac:dyDescent="0.25">
      <c r="B57" s="6" t="s">
        <v>20</v>
      </c>
      <c r="C57" s="6">
        <f>SUBTOTAL(109,Table2456232477[RESPONSES])</f>
        <v>0</v>
      </c>
      <c r="D57" s="8">
        <f>SUBTOTAL(109,Table2456232477[Care responsibilities])</f>
        <v>0</v>
      </c>
      <c r="E57" s="8">
        <f>SUBTOTAL(109,Table2456232477[Cost])</f>
        <v>0</v>
      </c>
      <c r="F57" s="8">
        <f>SUBTOTAL(109,Table2456232477[Covid-19])</f>
        <v>0</v>
      </c>
      <c r="G57" s="8">
        <f>SUBTOTAL(109,Table2456232477[Disability])</f>
        <v>0</v>
      </c>
      <c r="H57" s="8">
        <f>SUBTOTAL(109,Table2456232477[Don’t Want To])</f>
        <v>0</v>
      </c>
      <c r="I57" s="8">
        <f>SUBTOTAL(109,Table2456232477[Infrequent/unreliable])</f>
        <v>0</v>
      </c>
      <c r="J57" s="8">
        <f>SUBTOTAL(109,Table2456232477[Limited operating hours])</f>
        <v>0</v>
      </c>
      <c r="K57" s="8">
        <f>SUBTOTAL(109,Table2456232477[Need car for work])</f>
        <v>0</v>
      </c>
      <c r="L57" s="8">
        <f>SUBTOTAL(109,Table2456232477[Personal safety])</f>
        <v>0</v>
      </c>
      <c r="M57" s="8">
        <f>SUBTOTAL(109,Table2456232477[Road safety/traffic])</f>
        <v>0</v>
      </c>
      <c r="N57" s="8">
        <f>SUBTOTAL(109,Table2456232477[Too far/indirect])</f>
        <v>0</v>
      </c>
      <c r="O57" s="8">
        <f>SUBTOTAL(109,Table2456232477[Too busy])</f>
        <v>0</v>
      </c>
      <c r="P57" s="8">
        <f>SUBTOTAL(109,Table2456232477[Travel time])</f>
        <v>0</v>
      </c>
      <c r="Q57" s="8">
        <f>SUBTOTAL(109,Table2456232477[Work from home])</f>
        <v>0</v>
      </c>
      <c r="R57" s="8">
        <f>SUBTOTAL(109,Table2456232477[N/A])</f>
        <v>0</v>
      </c>
      <c r="S57" s="8">
        <f>SUBTOTAL(109,Table2456232477[Other (specify)])</f>
        <v>0</v>
      </c>
    </row>
    <row r="59" spans="1:19" x14ac:dyDescent="0.25">
      <c r="B59" s="14" t="s">
        <v>0</v>
      </c>
      <c r="C59" s="14" t="s">
        <v>55</v>
      </c>
      <c r="D59" s="14" t="s">
        <v>56</v>
      </c>
    </row>
    <row r="61" spans="1:19" x14ac:dyDescent="0.25">
      <c r="B61" s="3" t="s">
        <v>15</v>
      </c>
      <c r="C61" s="18" t="s">
        <v>103</v>
      </c>
      <c r="D61" s="37" t="s">
        <v>115</v>
      </c>
      <c r="E61" s="10" t="s">
        <v>126</v>
      </c>
      <c r="F61" s="10" t="s">
        <v>127</v>
      </c>
      <c r="G61" s="10" t="s">
        <v>5</v>
      </c>
      <c r="H61" s="10" t="s">
        <v>7</v>
      </c>
      <c r="I61" s="10" t="s">
        <v>128</v>
      </c>
      <c r="J61" s="10" t="s">
        <v>129</v>
      </c>
      <c r="K61" s="10" t="s">
        <v>111</v>
      </c>
      <c r="L61" s="10" t="s">
        <v>113</v>
      </c>
      <c r="M61" s="10" t="s">
        <v>124</v>
      </c>
      <c r="N61" s="10" t="s">
        <v>130</v>
      </c>
      <c r="O61" s="10" t="s">
        <v>131</v>
      </c>
      <c r="P61" s="10" t="s">
        <v>132</v>
      </c>
      <c r="Q61" s="10" t="s">
        <v>114</v>
      </c>
      <c r="R61" s="26" t="s">
        <v>10</v>
      </c>
      <c r="S61" s="26" t="s">
        <v>11</v>
      </c>
    </row>
    <row r="62" spans="1:19" x14ac:dyDescent="0.25">
      <c r="B62" s="9" t="s">
        <v>16</v>
      </c>
      <c r="C62" s="9" t="s">
        <v>104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</row>
    <row r="63" spans="1:19" x14ac:dyDescent="0.25">
      <c r="B63" s="9" t="s">
        <v>17</v>
      </c>
      <c r="C63" s="9" t="s">
        <v>104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</row>
    <row r="64" spans="1:19" x14ac:dyDescent="0.25">
      <c r="B64" s="9" t="s">
        <v>14</v>
      </c>
      <c r="C64" s="9" t="s">
        <v>104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</row>
    <row r="65" spans="2:19" x14ac:dyDescent="0.25">
      <c r="B65" s="6" t="s">
        <v>20</v>
      </c>
      <c r="C65" s="6">
        <f>SUBTOTAL(109,Table2457152578[RESPONSES])</f>
        <v>0</v>
      </c>
      <c r="D65" s="8">
        <f>SUBTOTAL(109,Table2457152578[Care responsibilities])</f>
        <v>0</v>
      </c>
      <c r="E65" s="8">
        <f>SUBTOTAL(109,Table2457152578[Cost])</f>
        <v>0</v>
      </c>
      <c r="F65" s="8">
        <f>SUBTOTAL(109,Table2457152578[Covid-19])</f>
        <v>0</v>
      </c>
      <c r="G65" s="8">
        <f>SUBTOTAL(109,Table2457152578[Disability])</f>
        <v>0</v>
      </c>
      <c r="H65" s="8">
        <f>SUBTOTAL(109,Table2457152578[Don’t Want To])</f>
        <v>0</v>
      </c>
      <c r="I65" s="8">
        <f>SUBTOTAL(109,Table2457152578[Infrequent/unreliable])</f>
        <v>0</v>
      </c>
      <c r="J65" s="8">
        <f>SUBTOTAL(109,Table2457152578[Limited operating hours])</f>
        <v>0</v>
      </c>
      <c r="K65" s="8">
        <f>SUBTOTAL(109,Table2457152578[Need car for work])</f>
        <v>0</v>
      </c>
      <c r="L65" s="8">
        <f>SUBTOTAL(109,Table2457152578[Personal safety])</f>
        <v>0</v>
      </c>
      <c r="M65" s="8">
        <f>SUBTOTAL(109,Table2457152578[Cost])</f>
        <v>0</v>
      </c>
      <c r="N65" s="8">
        <f>SUBTOTAL(109,Table2457152578[Covid-19])</f>
        <v>0</v>
      </c>
      <c r="O65" s="8">
        <f>SUBTOTAL(109,Table2457152578[Disability])</f>
        <v>0</v>
      </c>
      <c r="P65" s="8">
        <f>SUBTOTAL(109,Table2457152578[Don’t Want To])</f>
        <v>0</v>
      </c>
      <c r="Q65" s="8">
        <f>SUBTOTAL(109,Table2457152578[Infrequent/unreliable])</f>
        <v>0</v>
      </c>
      <c r="R65" s="8">
        <f>SUBTOTAL(109,Table2457152578[Limited operating hours])</f>
        <v>0</v>
      </c>
      <c r="S65" s="8">
        <f>SUBTOTAL(109,Table2457152578[Need car for work])</f>
        <v>0</v>
      </c>
    </row>
    <row r="67" spans="2:19" x14ac:dyDescent="0.25">
      <c r="B67" s="14" t="s">
        <v>0</v>
      </c>
      <c r="C67" s="14" t="s">
        <v>107</v>
      </c>
      <c r="D67" s="14" t="s">
        <v>58</v>
      </c>
    </row>
    <row r="69" spans="2:19" x14ac:dyDescent="0.25">
      <c r="B69" s="3" t="s">
        <v>15</v>
      </c>
      <c r="C69" s="18" t="s">
        <v>103</v>
      </c>
      <c r="D69" s="37" t="s">
        <v>115</v>
      </c>
      <c r="E69" s="10" t="s">
        <v>126</v>
      </c>
      <c r="F69" s="10" t="s">
        <v>127</v>
      </c>
      <c r="G69" s="10" t="s">
        <v>5</v>
      </c>
      <c r="H69" s="10" t="s">
        <v>7</v>
      </c>
      <c r="I69" s="10" t="s">
        <v>128</v>
      </c>
      <c r="J69" s="10" t="s">
        <v>129</v>
      </c>
      <c r="K69" s="10" t="s">
        <v>111</v>
      </c>
      <c r="L69" s="10" t="s">
        <v>113</v>
      </c>
      <c r="M69" s="10" t="s">
        <v>124</v>
      </c>
      <c r="N69" s="10" t="s">
        <v>130</v>
      </c>
      <c r="O69" s="10" t="s">
        <v>131</v>
      </c>
      <c r="P69" s="10" t="s">
        <v>132</v>
      </c>
      <c r="Q69" s="10" t="s">
        <v>114</v>
      </c>
      <c r="R69" s="26" t="s">
        <v>10</v>
      </c>
      <c r="S69" s="26" t="s">
        <v>11</v>
      </c>
    </row>
    <row r="70" spans="2:19" x14ac:dyDescent="0.25">
      <c r="B70" s="9" t="s">
        <v>16</v>
      </c>
      <c r="C70" s="9" t="s">
        <v>104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</row>
    <row r="71" spans="2:19" x14ac:dyDescent="0.25">
      <c r="B71" s="9" t="s">
        <v>17</v>
      </c>
      <c r="C71" s="9" t="s">
        <v>104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</row>
    <row r="72" spans="2:19" x14ac:dyDescent="0.25">
      <c r="B72" s="9" t="s">
        <v>14</v>
      </c>
      <c r="C72" s="9" t="s">
        <v>104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</row>
    <row r="73" spans="2:19" x14ac:dyDescent="0.25">
      <c r="B73" s="6" t="s">
        <v>20</v>
      </c>
      <c r="C73" s="6">
        <f>SUBTOTAL(109,Table24579162679[RESPONSES])</f>
        <v>0</v>
      </c>
      <c r="D73" s="8">
        <f>SUBTOTAL(109,Table24579162679[Care responsibilities])</f>
        <v>0</v>
      </c>
      <c r="E73" s="8">
        <f>SUBTOTAL(109,Table24579162679[Cost])</f>
        <v>0</v>
      </c>
      <c r="F73" s="8">
        <f>SUBTOTAL(109,Table24579162679[Covid-19])</f>
        <v>0</v>
      </c>
      <c r="G73" s="8">
        <f>SUBTOTAL(109,Table24579162679[Disability])</f>
        <v>0</v>
      </c>
      <c r="H73" s="8">
        <f>SUBTOTAL(109,Table24579162679[Don’t Want To])</f>
        <v>0</v>
      </c>
      <c r="I73" s="8">
        <f>SUBTOTAL(109,Table24579162679[Infrequent/unreliable])</f>
        <v>0</v>
      </c>
      <c r="J73" s="8">
        <f>SUBTOTAL(109,Table24579162679[Limited operating hours])</f>
        <v>0</v>
      </c>
      <c r="K73" s="8">
        <f>SUBTOTAL(109,Table24579162679[Need car for work])</f>
        <v>0</v>
      </c>
      <c r="L73" s="8">
        <f>SUBTOTAL(109,Table24579162679[Personal safety])</f>
        <v>0</v>
      </c>
      <c r="M73" s="8">
        <f>SUBTOTAL(109,Table24579162679[Cost])</f>
        <v>0</v>
      </c>
      <c r="N73" s="8">
        <f>SUBTOTAL(109,Table24579162679[Covid-19])</f>
        <v>0</v>
      </c>
      <c r="O73" s="8">
        <f>SUBTOTAL(109,Table24579162679[Disability])</f>
        <v>0</v>
      </c>
      <c r="P73" s="8">
        <f>SUBTOTAL(109,Table24579162679[Don’t Want To])</f>
        <v>0</v>
      </c>
      <c r="Q73" s="8">
        <f>SUBTOTAL(109,Table24579162679[Infrequent/unreliable])</f>
        <v>0</v>
      </c>
      <c r="R73" s="8">
        <f>SUBTOTAL(109,Table24579162679[Limited operating hours])</f>
        <v>0</v>
      </c>
      <c r="S73" s="8">
        <f>SUBTOTAL(109,Table24579162679[Need car for work])</f>
        <v>0</v>
      </c>
    </row>
    <row r="74" spans="2:19" x14ac:dyDescent="0.2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2:19" x14ac:dyDescent="0.25">
      <c r="B75" s="14" t="s">
        <v>0</v>
      </c>
      <c r="C75" s="14" t="s">
        <v>59</v>
      </c>
      <c r="D75" s="14" t="s">
        <v>60</v>
      </c>
    </row>
    <row r="77" spans="2:19" x14ac:dyDescent="0.25">
      <c r="B77" s="3" t="s">
        <v>15</v>
      </c>
      <c r="C77" s="18" t="s">
        <v>103</v>
      </c>
      <c r="D77" s="37" t="s">
        <v>115</v>
      </c>
      <c r="E77" s="10" t="s">
        <v>126</v>
      </c>
      <c r="F77" s="10" t="s">
        <v>127</v>
      </c>
      <c r="G77" s="10" t="s">
        <v>5</v>
      </c>
      <c r="H77" s="10" t="s">
        <v>7</v>
      </c>
      <c r="I77" s="10" t="s">
        <v>128</v>
      </c>
      <c r="J77" s="10" t="s">
        <v>129</v>
      </c>
      <c r="K77" s="10" t="s">
        <v>111</v>
      </c>
      <c r="L77" s="10" t="s">
        <v>113</v>
      </c>
      <c r="M77" s="10" t="s">
        <v>124</v>
      </c>
      <c r="N77" s="10" t="s">
        <v>130</v>
      </c>
      <c r="O77" s="10" t="s">
        <v>131</v>
      </c>
      <c r="P77" s="10" t="s">
        <v>132</v>
      </c>
      <c r="Q77" s="10" t="s">
        <v>114</v>
      </c>
      <c r="R77" s="26" t="s">
        <v>10</v>
      </c>
      <c r="S77" s="26" t="s">
        <v>11</v>
      </c>
    </row>
    <row r="78" spans="2:19" x14ac:dyDescent="0.25">
      <c r="B78" s="11" t="s">
        <v>61</v>
      </c>
      <c r="C78" s="11" t="s">
        <v>104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</row>
    <row r="79" spans="2:19" x14ac:dyDescent="0.25">
      <c r="B79" s="11" t="s">
        <v>62</v>
      </c>
      <c r="C79" s="11" t="s">
        <v>104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</row>
    <row r="80" spans="2:19" x14ac:dyDescent="0.25">
      <c r="B80" s="11" t="s">
        <v>63</v>
      </c>
      <c r="C80" s="11" t="s">
        <v>104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</row>
    <row r="81" spans="2:19" x14ac:dyDescent="0.25">
      <c r="B81" s="11" t="s">
        <v>37</v>
      </c>
      <c r="C81" s="11" t="s">
        <v>104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</row>
    <row r="82" spans="2:19" x14ac:dyDescent="0.25">
      <c r="B82" s="11" t="s">
        <v>14</v>
      </c>
      <c r="C82" s="11" t="s">
        <v>104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</row>
    <row r="83" spans="2:19" x14ac:dyDescent="0.25">
      <c r="B83" s="6" t="s">
        <v>20</v>
      </c>
      <c r="C83" s="6">
        <f>SUBTOTAL(109,Table2457910172780[RESPONSES])</f>
        <v>0</v>
      </c>
      <c r="D83" s="8">
        <f>SUBTOTAL(109,Table2457910172780[Care responsibilities])</f>
        <v>0</v>
      </c>
      <c r="E83" s="8">
        <f>SUBTOTAL(109,Table2457910172780[Cost])</f>
        <v>0</v>
      </c>
      <c r="F83" s="8">
        <f>SUBTOTAL(109,Table2457910172780[Covid-19])</f>
        <v>0</v>
      </c>
      <c r="G83" s="8">
        <f>SUBTOTAL(109,Table2457910172780[Disability])</f>
        <v>0</v>
      </c>
      <c r="H83" s="8">
        <f>SUBTOTAL(109,Table2457910172780[Don’t Want To])</f>
        <v>0</v>
      </c>
      <c r="I83" s="8">
        <f>SUBTOTAL(109,Table2457910172780[Infrequent/unreliable])</f>
        <v>0</v>
      </c>
      <c r="J83" s="8">
        <f>SUBTOTAL(109,Table2457910172780[Limited operating hours])</f>
        <v>0</v>
      </c>
      <c r="K83" s="8">
        <f>SUBTOTAL(109,Table2457910172780[Need car for work])</f>
        <v>0</v>
      </c>
      <c r="L83" s="8">
        <f>SUBTOTAL(109,Table2457910172780[Personal safety])</f>
        <v>0</v>
      </c>
      <c r="M83" s="8">
        <f>SUBTOTAL(109,Table2457910172780[Cost])</f>
        <v>0</v>
      </c>
      <c r="N83" s="8">
        <f>SUBTOTAL(109,Table2457910172780[Covid-19])</f>
        <v>0</v>
      </c>
      <c r="O83" s="8">
        <f>SUBTOTAL(109,Table2457910172780[Disability])</f>
        <v>0</v>
      </c>
      <c r="P83" s="8">
        <f>SUBTOTAL(109,Table2457910172780[Don’t Want To])</f>
        <v>0</v>
      </c>
      <c r="Q83" s="8">
        <f>SUBTOTAL(109,Table2457910172780[Infrequent/unreliable])</f>
        <v>0</v>
      </c>
      <c r="R83" s="8">
        <f>SUBTOTAL(109,Table2457910172780[Limited operating hours])</f>
        <v>0</v>
      </c>
      <c r="S83" s="8">
        <f>SUBTOTAL(109,Table2457910172780[Need car for work])</f>
        <v>0</v>
      </c>
    </row>
    <row r="85" spans="2:19" x14ac:dyDescent="0.25">
      <c r="B85" s="14" t="s">
        <v>0</v>
      </c>
      <c r="C85" s="14" t="s">
        <v>64</v>
      </c>
      <c r="D85" s="14" t="s">
        <v>65</v>
      </c>
    </row>
    <row r="87" spans="2:19" x14ac:dyDescent="0.25">
      <c r="B87" s="3" t="s">
        <v>15</v>
      </c>
      <c r="C87" s="18" t="s">
        <v>103</v>
      </c>
      <c r="D87" s="37" t="s">
        <v>115</v>
      </c>
      <c r="E87" s="10" t="s">
        <v>126</v>
      </c>
      <c r="F87" s="10" t="s">
        <v>127</v>
      </c>
      <c r="G87" s="10" t="s">
        <v>5</v>
      </c>
      <c r="H87" s="10" t="s">
        <v>7</v>
      </c>
      <c r="I87" s="10" t="s">
        <v>128</v>
      </c>
      <c r="J87" s="10" t="s">
        <v>129</v>
      </c>
      <c r="K87" s="10" t="s">
        <v>111</v>
      </c>
      <c r="L87" s="10" t="s">
        <v>113</v>
      </c>
      <c r="M87" s="10" t="s">
        <v>124</v>
      </c>
      <c r="N87" s="10" t="s">
        <v>130</v>
      </c>
      <c r="O87" s="10" t="s">
        <v>131</v>
      </c>
      <c r="P87" s="10" t="s">
        <v>132</v>
      </c>
      <c r="Q87" s="10" t="s">
        <v>114</v>
      </c>
      <c r="R87" s="26" t="s">
        <v>10</v>
      </c>
      <c r="S87" s="26" t="s">
        <v>11</v>
      </c>
    </row>
    <row r="88" spans="2:19" x14ac:dyDescent="0.25">
      <c r="B88" s="11" t="s">
        <v>66</v>
      </c>
      <c r="C88" s="11" t="s">
        <v>104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</row>
    <row r="89" spans="2:19" x14ac:dyDescent="0.25">
      <c r="B89" s="11" t="s">
        <v>67</v>
      </c>
      <c r="C89" s="11" t="s">
        <v>104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</row>
    <row r="90" spans="2:19" x14ac:dyDescent="0.25">
      <c r="B90" s="11" t="s">
        <v>68</v>
      </c>
      <c r="C90" s="11" t="s">
        <v>104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</row>
    <row r="91" spans="2:19" x14ac:dyDescent="0.25">
      <c r="B91" s="11" t="s">
        <v>69</v>
      </c>
      <c r="C91" s="11" t="s">
        <v>104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</row>
    <row r="92" spans="2:19" x14ac:dyDescent="0.25">
      <c r="B92" s="11" t="s">
        <v>70</v>
      </c>
      <c r="C92" s="11" t="s">
        <v>104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</row>
    <row r="93" spans="2:19" x14ac:dyDescent="0.25">
      <c r="B93" s="11" t="s">
        <v>71</v>
      </c>
      <c r="C93" s="11" t="s">
        <v>104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</row>
    <row r="94" spans="2:19" x14ac:dyDescent="0.25">
      <c r="B94" s="11" t="s">
        <v>72</v>
      </c>
      <c r="C94" s="11" t="s">
        <v>104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</row>
    <row r="95" spans="2:19" x14ac:dyDescent="0.25">
      <c r="B95" s="11" t="s">
        <v>37</v>
      </c>
      <c r="C95" s="11" t="s">
        <v>104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</row>
    <row r="96" spans="2:19" x14ac:dyDescent="0.25">
      <c r="B96" s="11" t="s">
        <v>14</v>
      </c>
      <c r="C96" s="11" t="s">
        <v>104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</row>
    <row r="97" spans="2:19" x14ac:dyDescent="0.25">
      <c r="B97" s="6" t="s">
        <v>20</v>
      </c>
      <c r="C97" s="6">
        <f>SUBTOTAL(109,Table245791011182881[RESPONSES])</f>
        <v>0</v>
      </c>
      <c r="D97" s="8">
        <f>SUBTOTAL(109,Table245791011182881[Care responsibilities])</f>
        <v>0</v>
      </c>
      <c r="E97" s="8">
        <f>SUBTOTAL(109,Table245791011182881[Cost])</f>
        <v>0</v>
      </c>
      <c r="F97" s="8">
        <f>SUBTOTAL(109,Table245791011182881[Covid-19])</f>
        <v>0</v>
      </c>
      <c r="G97" s="8">
        <f>SUBTOTAL(109,Table245791011182881[Disability])</f>
        <v>0</v>
      </c>
      <c r="H97" s="8">
        <f>SUBTOTAL(109,Table245791011182881[Don’t Want To])</f>
        <v>0</v>
      </c>
      <c r="I97" s="8">
        <f>SUBTOTAL(109,Table245791011182881[Infrequent/unreliable])</f>
        <v>0</v>
      </c>
      <c r="J97" s="8">
        <f>SUBTOTAL(109,Table245791011182881[Limited operating hours])</f>
        <v>0</v>
      </c>
      <c r="K97" s="8">
        <f>SUBTOTAL(109,Table245791011182881[Need car for work])</f>
        <v>0</v>
      </c>
      <c r="L97" s="8">
        <f>SUBTOTAL(109,Table245791011182881[Personal safety])</f>
        <v>0</v>
      </c>
      <c r="M97" s="8">
        <f>SUBTOTAL(109,Table245791011182881[Cost])</f>
        <v>0</v>
      </c>
      <c r="N97" s="8">
        <f>SUBTOTAL(109,Table245791011182881[Covid-19])</f>
        <v>0</v>
      </c>
      <c r="O97" s="8">
        <f>SUBTOTAL(109,Table245791011182881[Disability])</f>
        <v>0</v>
      </c>
      <c r="P97" s="8">
        <f>SUBTOTAL(109,Table245791011182881[Don’t Want To])</f>
        <v>0</v>
      </c>
      <c r="Q97" s="8">
        <f>SUBTOTAL(109,Table245791011182881[Infrequent/unreliable])</f>
        <v>0</v>
      </c>
      <c r="R97" s="8">
        <f>SUBTOTAL(109,Table245791011182881[Limited operating hours])</f>
        <v>0</v>
      </c>
      <c r="S97" s="8">
        <f>SUBTOTAL(109,Table245791011182881[Need car for work])</f>
        <v>0</v>
      </c>
    </row>
    <row r="99" spans="2:19" x14ac:dyDescent="0.25">
      <c r="B99" s="14" t="s">
        <v>0</v>
      </c>
      <c r="C99" s="14" t="s">
        <v>73</v>
      </c>
      <c r="D99" s="14" t="s">
        <v>74</v>
      </c>
    </row>
    <row r="101" spans="2:19" x14ac:dyDescent="0.25">
      <c r="B101" s="3" t="s">
        <v>15</v>
      </c>
      <c r="C101" s="18" t="s">
        <v>103</v>
      </c>
      <c r="D101" s="37" t="s">
        <v>115</v>
      </c>
      <c r="E101" s="10" t="s">
        <v>126</v>
      </c>
      <c r="F101" s="10" t="s">
        <v>127</v>
      </c>
      <c r="G101" s="10" t="s">
        <v>5</v>
      </c>
      <c r="H101" s="10" t="s">
        <v>7</v>
      </c>
      <c r="I101" s="10" t="s">
        <v>128</v>
      </c>
      <c r="J101" s="10" t="s">
        <v>129</v>
      </c>
      <c r="K101" s="10" t="s">
        <v>111</v>
      </c>
      <c r="L101" s="10" t="s">
        <v>113</v>
      </c>
      <c r="M101" s="10" t="s">
        <v>124</v>
      </c>
      <c r="N101" s="10" t="s">
        <v>130</v>
      </c>
      <c r="O101" s="10" t="s">
        <v>131</v>
      </c>
      <c r="P101" s="10" t="s">
        <v>132</v>
      </c>
      <c r="Q101" s="10" t="s">
        <v>114</v>
      </c>
      <c r="R101" s="26" t="s">
        <v>10</v>
      </c>
      <c r="S101" s="26" t="s">
        <v>11</v>
      </c>
    </row>
    <row r="102" spans="2:19" x14ac:dyDescent="0.25">
      <c r="B102" s="11" t="s">
        <v>16</v>
      </c>
      <c r="C102" s="25" t="s">
        <v>104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</row>
    <row r="103" spans="2:19" x14ac:dyDescent="0.25">
      <c r="B103" s="11" t="s">
        <v>17</v>
      </c>
      <c r="C103" s="25" t="s">
        <v>104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</row>
    <row r="104" spans="2:19" x14ac:dyDescent="0.25">
      <c r="B104" s="11" t="s">
        <v>14</v>
      </c>
      <c r="C104" s="25" t="s">
        <v>104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</row>
    <row r="105" spans="2:19" x14ac:dyDescent="0.25">
      <c r="B105" s="1" t="s">
        <v>20</v>
      </c>
      <c r="C105" s="1">
        <f>SUBTOTAL(109,Table24579101112192982[RESPONSES])</f>
        <v>0</v>
      </c>
      <c r="D105" s="7">
        <f>SUBTOTAL(109,Table24579101112192982[Care responsibilities])</f>
        <v>0</v>
      </c>
      <c r="E105" s="8">
        <f>SUBTOTAL(109,Table24579101112192982[Cost])</f>
        <v>0</v>
      </c>
      <c r="F105" s="8">
        <f>SUBTOTAL(109,Table24579101112192982[Covid-19])</f>
        <v>0</v>
      </c>
      <c r="G105" s="8">
        <f>SUBTOTAL(109,Table24579101112192982[Disability])</f>
        <v>0</v>
      </c>
      <c r="H105" s="8">
        <f>SUBTOTAL(109,Table24579101112192982[Don’t Want To])</f>
        <v>0</v>
      </c>
      <c r="I105" s="8">
        <f>SUBTOTAL(109,Table24579101112192982[Infrequent/unreliable])</f>
        <v>0</v>
      </c>
      <c r="J105" s="8">
        <f>SUBTOTAL(109,Table24579101112192982[Limited operating hours])</f>
        <v>0</v>
      </c>
      <c r="K105" s="8">
        <f>SUBTOTAL(109,Table24579101112192982[Need car for work])</f>
        <v>0</v>
      </c>
      <c r="L105" s="8">
        <f>SUBTOTAL(109,Table24579101112192982[Personal safety])</f>
        <v>0</v>
      </c>
      <c r="M105" s="8">
        <f>SUBTOTAL(109,Table24579101112192982[Cost])</f>
        <v>0</v>
      </c>
      <c r="N105" s="8">
        <f>SUBTOTAL(109,Table24579101112192982[Covid-19])</f>
        <v>0</v>
      </c>
      <c r="O105" s="8">
        <f>SUBTOTAL(109,Table24579101112192982[Disability])</f>
        <v>0</v>
      </c>
      <c r="P105" s="8">
        <f>SUBTOTAL(109,Table24579101112192982[Don’t Want To])</f>
        <v>0</v>
      </c>
      <c r="Q105" s="8">
        <f>SUBTOTAL(109,Table24579101112192982[Infrequent/unreliable])</f>
        <v>0</v>
      </c>
      <c r="R105" s="8">
        <f>SUBTOTAL(109,Table24579101112192982[Limited operating hours])</f>
        <v>0</v>
      </c>
      <c r="S105" s="8">
        <f>SUBTOTAL(109,Table24579101112192982[Need car for work])</f>
        <v>0</v>
      </c>
    </row>
  </sheetData>
  <mergeCells count="6">
    <mergeCell ref="A54:A56"/>
    <mergeCell ref="B2:B3"/>
    <mergeCell ref="A38:A42"/>
    <mergeCell ref="A43:A45"/>
    <mergeCell ref="A46:A49"/>
    <mergeCell ref="A50:A53"/>
  </mergeCells>
  <conditionalFormatting sqref="D8:D10">
    <cfRule type="colorScale" priority="9">
      <colorScale>
        <cfvo type="min"/>
        <cfvo type="max"/>
        <color rgb="FFFCFCFF"/>
        <color rgb="FFF8696B"/>
      </colorScale>
    </cfRule>
  </conditionalFormatting>
  <conditionalFormatting sqref="E8:S10">
    <cfRule type="colorScale" priority="10">
      <colorScale>
        <cfvo type="min"/>
        <cfvo type="max"/>
        <color rgb="FFFCFCFF"/>
        <color rgb="FFF8696B"/>
      </colorScale>
    </cfRule>
  </conditionalFormatting>
  <conditionalFormatting sqref="D16:S18">
    <cfRule type="colorScale" priority="8">
      <colorScale>
        <cfvo type="min"/>
        <cfvo type="max"/>
        <color rgb="FFFCFCFF"/>
        <color rgb="FFF8696B"/>
      </colorScale>
    </cfRule>
  </conditionalFormatting>
  <conditionalFormatting sqref="D24:S32">
    <cfRule type="colorScale" priority="7">
      <colorScale>
        <cfvo type="min"/>
        <cfvo type="max"/>
        <color rgb="FFFCFCFF"/>
        <color rgb="FFF8696B"/>
      </colorScale>
    </cfRule>
  </conditionalFormatting>
  <conditionalFormatting sqref="D38:S56">
    <cfRule type="colorScale" priority="6">
      <colorScale>
        <cfvo type="min"/>
        <cfvo type="max"/>
        <color rgb="FFFCFCFF"/>
        <color rgb="FFF8696B"/>
      </colorScale>
    </cfRule>
  </conditionalFormatting>
  <conditionalFormatting sqref="D62:S64">
    <cfRule type="colorScale" priority="5">
      <colorScale>
        <cfvo type="min"/>
        <cfvo type="max"/>
        <color rgb="FFFCFCFF"/>
        <color rgb="FFF8696B"/>
      </colorScale>
    </cfRule>
  </conditionalFormatting>
  <conditionalFormatting sqref="D70:S72">
    <cfRule type="colorScale" priority="4">
      <colorScale>
        <cfvo type="min"/>
        <cfvo type="max"/>
        <color rgb="FFFCFCFF"/>
        <color rgb="FFF8696B"/>
      </colorScale>
    </cfRule>
  </conditionalFormatting>
  <conditionalFormatting sqref="D78:S82">
    <cfRule type="colorScale" priority="3">
      <colorScale>
        <cfvo type="min"/>
        <cfvo type="max"/>
        <color rgb="FFFCFCFF"/>
        <color rgb="FFF8696B"/>
      </colorScale>
    </cfRule>
  </conditionalFormatting>
  <conditionalFormatting sqref="D88:S96">
    <cfRule type="colorScale" priority="2">
      <colorScale>
        <cfvo type="min"/>
        <cfvo type="max"/>
        <color rgb="FFFCFCFF"/>
        <color rgb="FFF8696B"/>
      </colorScale>
    </cfRule>
  </conditionalFormatting>
  <conditionalFormatting sqref="D102:S104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portrait" verticalDpi="0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 SHEET</vt:lpstr>
      <vt:lpstr>CELL VALIDATION</vt:lpstr>
      <vt:lpstr>WALKING (EXAMPLE)</vt:lpstr>
      <vt:lpstr>WALKING</vt:lpstr>
      <vt:lpstr>CYCLING</vt:lpstr>
      <vt:lpstr>PUBLIC TRANSPORT</vt:lpstr>
    </vt:vector>
  </TitlesOfParts>
  <Company>oneSource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Smith</dc:creator>
  <cp:lastModifiedBy>Joe Smith</cp:lastModifiedBy>
  <dcterms:created xsi:type="dcterms:W3CDTF">2022-12-22T17:09:06Z</dcterms:created>
  <dcterms:modified xsi:type="dcterms:W3CDTF">2023-04-28T12:37:30Z</dcterms:modified>
</cp:coreProperties>
</file>